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9165" tabRatio="838"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 r:id="rId10"/>
    <externalReference r:id="rId11"/>
  </externalReferences>
  <definedNames>
    <definedName name="_xlfn._FV" hidden="1">#NAME?</definedName>
    <definedName name="_xlfn.BAHTTEXT" hidden="1">#NAME?</definedName>
    <definedName name="_xlfn.COUNTIFS" hidden="1">#NAME?</definedName>
    <definedName name="BAA1">#REF!</definedName>
    <definedName name="boq_type">#REF!</definedName>
    <definedName name="boq_version">'[1]Config'!$C$2:$C$3</definedName>
    <definedName name="CONC_25">'[4]M25'!$G$21</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'BoQ1'!$A$1:$BC$53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<sst xmlns="http://schemas.openxmlformats.org/spreadsheetml/2006/main" count="358" uniqueCount="143">
  <si>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</si>
  <si>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</si>
  <si>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</si>
  <si>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</si>
  <si>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</si>
  <si>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</si>
  <si>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</si>
  <si>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</si>
  <si>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</si>
  <si>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</si>
  <si>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</si>
  <si>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</si>
  <si>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</si>
  <si>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</si>
  <si>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</si>
  <si>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</si>
  <si>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</si>
  <si>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</si>
  <si>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</si>
  <si>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</si>
  <si>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</si>
  <si>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</si>
  <si>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</si>
  <si>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</si>
  <si>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</si>
  <si>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</si>
  <si>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</si>
  <si>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</si>
  <si>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</si>
  <si>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</si>
  <si>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</si>
  <si>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</si>
  <si>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</si>
  <si>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</si>
  <si>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</si>
  <si>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</si>
  <si>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</si>
  <si>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</si>
  <si>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</si>
  <si>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</si>
  <si>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</si>
  <si>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</si>
  <si>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</si>
  <si>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</si>
  <si>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</si>
  <si>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</si>
  <si>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</si>
  <si>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</si>
  <si>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</si>
  <si>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</si>
  <si>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</si>
  <si>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</si>
  <si>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</si>
  <si>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</si>
  <si>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</si>
  <si>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</si>
  <si>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</si>
  <si>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</si>
  <si>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</si>
  <si>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</si>
  <si>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</si>
  <si>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</si>
  <si>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</si>
  <si>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</si>
  <si>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</si>
  <si>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</si>
  <si>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</si>
  <si>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</si>
  <si>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</si>
  <si>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</si>
  <si>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</si>
  <si>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</si>
  <si>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</si>
  <si>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</si>
  <si>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</si>
  <si>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</si>
  <si>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</si>
  <si>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</si>
  <si>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</si>
  <si>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</si>
  <si>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</si>
  <si>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</si>
  <si>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</si>
  <si>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</si>
  <si>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</si>
  <si>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</si>
  <si>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</si>
  <si>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</si>
  <si>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</si>
  <si>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BI01010001010000000000000515BI0100001113</t>
  </si>
  <si>
    <t>BI01010001010000000000000515BI0100001114</t>
  </si>
  <si>
    <t>Civil works</t>
  </si>
  <si>
    <t>mtr</t>
  </si>
  <si>
    <t>each</t>
  </si>
  <si>
    <t>set</t>
  </si>
  <si>
    <t>Resistivity Survey using resistivity meter to study ground water condition (Each Location Minimum Three Point Test) around the site giving the detail of aquifer depth and the expected yield in liters per hours including labour transportation and report preparation charges in Construction site .</t>
  </si>
  <si>
    <t xml:space="preserve">Labour for boring through any type of soil for sinking tube well of required dia. with top enlargement by Rig boring system (either by reverse circulation or by direct rotary method) including hire charges and labour for rig machine, tools and plants, staging, force pumping set and making arrangement for water required for boring etc. complete and lowering of pipes, strainers, blind pipes etc. complete.
(a) For depth upto 250 metre for 100 mm dia. tube well with top enlargement of 200 mm dia.
(i)  First 50 mtr
       </t>
  </si>
  <si>
    <t>Labour for boring through any type of soil for sinking tube well of required dia. with top enlargement by Rig boring system (either by reverse circulation or by direct rotary method) including hire charges and labour for rig machine, tools and plants, staging, force pumping set and making arrangement for water required for boring etc. complete and lowering of pipes, strainers, blind pipes etc. complete.
(a) For depth upto 250 metre for 100 mm dia. tube well with top enlargement of 200 mm dia. ii)  Next 50 mtr</t>
  </si>
  <si>
    <t>Labour for boring through any type of soil for sinking tube well of required dia. with top enlargement by Rig boring system (either by reverse circulation or by direct rotary method) including hire charges and labour for rig machine, tools and plants, staging, force pumping set and making arrangement for water required for boring etc. complete and lowering of pipes, strainers, blind pipes etc. complete.
(a) For depth upto 250 metre for 100 mm dia. tube well with top enlargement of 200 mm dia. iii) Next 50 mtr</t>
  </si>
  <si>
    <t>Labour for boring through any type of soil for sinking tube well of required dia. with top enlargement by Rig boring system (either by reverse circulation or by direct rotary method) including hire charges and labour for rig machine, tools and plants, staging, force pumping set and making arrangement for water required for boring etc. complete and lowering of pipes, strainers, blind pipes etc. complete.
(a) For depth upto 250 metre for 100 mm dia. tube well with top enlargement of 200 mm dia. iv) Rest 70 mtr</t>
  </si>
  <si>
    <t>Supplying 100 mm dia high density polythene strainer of approved make with adapter confirming to I.S. specification.</t>
  </si>
  <si>
    <t>Surging of existing tube well with chemical treatment and bucket wash (prior to use of compressor machine) and developing the tube well with compressor machine at least 3 (three) days at 8 (eight) hours per day till the yield is obtained at least by 75% of the total specified yield of the tube well (measured by 'V' notch tank) and draw down is within the permissible limit of 10% variation and water so obtained after such washing and developing will be free from sand and bacteria for which test report from the Public Analyst is to be obtained. (The rate is inclusive of all labour and materials including hire charges of tools and plants and cost of materials.)</t>
  </si>
  <si>
    <t xml:space="preserve">For tube well of size bigger 100mm Labour for making arrangement for showing verticality test including the cost for hire charges of tools and plants, scafolding, labour etc. all complete.       </t>
  </si>
  <si>
    <t>Collecting sample of water for bacteriological and chemical test from any depth at any time during execution of work including hire and labour charges for tools and plants and sterilising the equipments, paying all charges and fees, testing etc. complete in all respect as per direction.</t>
  </si>
  <si>
    <t>Packing the annular space between the outside of the tube well pipes &amp; strainers and the bore with pea size washed gravel of approved quality having size from 2 mm to 5 mm or the size approved by the Engineer-in-charge including cost of all materials labour and equipment complete.
Note: Initial 6 m. of Annular space between the housing pipe
and the bore should not be shrouded with Pea size gravel to avoid contamination with surface water.</t>
  </si>
  <si>
    <t>Packing annular space between the outside of the housing pipe and the bore with puddled clay balls of approved size as per direction of the Engineer-in-charge with cost of all materials and labour complete.</t>
  </si>
  <si>
    <t>Supplying, fitting and fixing including supplying of suitable jointing compound for fixing in position, threading, if necessary etc. all complete.
d)  Supplying, fitting and fixing 300 mm M.S. housing clamp of approved quality</t>
  </si>
  <si>
    <t>Geophysical investigation of the acquifer by electrologging system with all tools and plants as necessary including supply of necessary report.</t>
  </si>
  <si>
    <r>
      <rPr>
        <b/>
        <sz val="14"/>
        <color indexed="8"/>
        <rFont val="Times New Roman"/>
        <family val="1"/>
      </rPr>
      <t>SUPPLY &amp; INSTALLATION OF PUMP SET</t>
    </r>
    <r>
      <rPr>
        <sz val="14"/>
        <color indexed="8"/>
        <rFont val="Times New Roman"/>
        <family val="1"/>
      </rPr>
      <t xml:space="preserve">
Supply of Three phase 240V 7.5 Hp ( 5.5 Kw) bore well submersible Pump Motor set suitable for 200 mm bore well having overall head of (180 mtr to 70 mtr) &amp; discharge of  (0 to 225 LPM). The discharge outlet size will be 65mm (2.5" inch) (Make KSB/ Crompton/Kirloskar)
    </t>
    </r>
  </si>
  <si>
    <t>Supply &amp; installation of 415 volt controller fot submersible pump stored in steel sheel erolosure (make L/T type MU-G cat no- SS9594) Relay Range (9-14 A)</t>
  </si>
  <si>
    <t xml:space="preserve">Supply &amp; Laying 3 core 4 sqmm flat submersible cable 
(Finolex)incl. 3/4" PVC HD PVC pipe through U.G. trench with necy Jointing materials incl. S/Laying PVC HD PVC pipe (Oriplast)
    </t>
  </si>
  <si>
    <t>Supplying, fitting and fixing G.I. pipes of TATA make with all necessary accessories, specials viz. socket, bend, tee, union, cross, elbo, nipple, longscrew, reducing socket, reducing tee, short piece etc. fitted with holder bats clamps, including cutting pipes, making threads, 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For exposed work. 
b) 50mm dia (Header to delivery pipe line to different buildings)
(medium Quality)</t>
  </si>
  <si>
    <t>Supplying, fitting and fixing G.I. pipes of TATA make with all necessary accessories, specials viz. socket, bend, tee, union, cross, elbo, nipple, longscrew, reducing socket, reducing tee, short piece etc. fitted with holder bats clamps, including cutting pipes, making threads, 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For exposed work. 
c) 25 mm dia. medium quality</t>
  </si>
  <si>
    <t>Supply &amp; fixing 100 mm x 65 mm dia G.I. Reducing Tee (For header)</t>
  </si>
  <si>
    <t xml:space="preserve">Supply &amp; fixing 65 mm x 50 mm dia G.I. Reducing socket (For delivery Line from header) </t>
  </si>
  <si>
    <t>Labour charge for Testing &amp; Lowering  the submersible Pump motor set with submersible cable along with the column pipes into the tube well  after socketing the column pipes step by step including arrangement of tripod, chain pully &amp; tools &amp; Tackles  &amp; providing suitable manpower to satisfactory operation.</t>
  </si>
  <si>
    <t>LS</t>
  </si>
  <si>
    <t>Cu. m</t>
  </si>
  <si>
    <t>pair</t>
  </si>
  <si>
    <t>item</t>
  </si>
  <si>
    <t xml:space="preserve">Supplying, fitting and fixing PVC pipes for underground work of approved make of Schedule 80 (medium duty) conforming to ASTMD - 1785 and threaded to match with GI Pipes as per IS : 1239 (Part - I). with all necessary accessories, specials viz. socket, bend, tee, union, cross, elbo,nipple, longscrew, reducing socket, reducing tee, short piece etc. fitted including cost of all materials ,jointing materials, cutting pipes, making threads ,cutting trenches upto 1.5 metre below surface in all sorts of soil and refilling the same as directed complete in all respect. (Payment will be made on the centre line measurement of the total pipe line including all specials No separate payment will be made for accessories, specials. 
b) 100 mm dia. 
</t>
  </si>
  <si>
    <t xml:space="preserve">Supplying, fitting and fixing heavy type bell mouth reducing socket
(iv) 100 mm X 200 mm </t>
  </si>
  <si>
    <t>Supply of PVC pipes &amp; fittings Schedule 80 (medium duty) conforming to ASTMD - 1785 and threaded to match with GI Pipes as per IS : 1239 (Part - I).
(A) PVC Pipes
(J) Threaded End Cap dia 200 mm</t>
  </si>
  <si>
    <t>Supplying, fitting and fixing G.I. pipes of TATA make with all necessary accessories, specials viz. socket, bend, tee, union, cross, elbo, nipple, longscrew, reducing socket, reducing tee, short piece etc. fitted with holder bats clamps, including cutting pipes, making threads, 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For exposed work.
a) 65mm dia  (For Vertical column pipe &amp; upto Header)
(medium Quality)</t>
  </si>
  <si>
    <t xml:space="preserve">Supplying, fitting and fixing gunmetal wheel valve of approved brand and make tested to 21 kg per sq. cm. (for water lines only).
(iii) 65 mm dia </t>
  </si>
  <si>
    <t>Supplying, fitting and fixing Peet's valve fullway gunmetal standard pattern best quality of approved brand bearing I.S.I. marking with fittings (tested to 21 kg per sq. cm.).
(iv) 50 mm dia</t>
  </si>
  <si>
    <t>Supply &amp; fixing 100mm dia P.V.C nipple short piece 150mm long</t>
  </si>
  <si>
    <t>Dismantling all types of masonry excepting cement
concrete plain or reinforced, stacking serviceable
materials at site and removing rubbish as directed
within a lead of 75 m.
a) In ground floor including roof.</t>
  </si>
  <si>
    <t>cum</t>
  </si>
  <si>
    <t>Brick work with 1st class bricks in cement mortar (1:6)
(a) In foundation and plinth</t>
  </si>
  <si>
    <t>(a) 25 mm thick plaster</t>
  </si>
  <si>
    <t>sqm</t>
  </si>
  <si>
    <t>Supplying, fitting and fixing C.I. holder bat clamp including cutting holes in wall etc. and mending good all damages in cement concrete with jhama chips (4:2:1) and cement plaster (6:1) to match and curing complete in all respect.
(vi) 50 mm</t>
  </si>
  <si>
    <t>BI01010001010000000000000515BI0100001149</t>
  </si>
  <si>
    <t xml:space="preserve">Supplying, fitting and fixing PVC pipes for underground work of approved make of Schedule 80 (medium duty) conforming to ASTMD - 1785 and threaded to match with GI Pipes as per IS : 1239 (Part - I). with all necessary accessories, specials viz. socket, bend, tee, union, cross, elbo,nipple, longscrew, reducing socket, reducing tee, short piece etc. fitted including cost of all materials ,jointing materials, cutting pipes, making threads ,cutting trenches upto 1.5 metre below surface in all sorts of soil and refilling the same as directed complete in all respect. (Payment will be made on the centre line measurement of the total pipe line including all specials No separate payment will be made for accessories, specials.
a) 200 mm dia. 
</t>
  </si>
  <si>
    <t xml:space="preserve">Supply of PVC pipes &amp; fittings Schedule 80 (medium duty) conforming to ASTMD - 1785 and threaded to match with GI Pipes as per IS : 1239 (Part - I).
c)  end plug  dia100 mm </t>
  </si>
  <si>
    <t>Supply 100mm dia G.I. plug</t>
  </si>
  <si>
    <t>Supply of G.I. Union  50 mm dia</t>
  </si>
  <si>
    <t xml:space="preserve"> Supply of PVC pipes &amp; fittings Schedule 80 (medium duty) conforming to ASTMD - 1785 and threaded to match with GI Pipes as per IS : 1239 (Part - I).
G.I. Flange  50 mm dia</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</si>
  <si>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1:6 cement mortar
(a) 25 mm thick plaster</t>
  </si>
  <si>
    <t xml:space="preserve">Tender Inviting Authority: The Assistant Chief Engineer,  W.B.P.H&amp;.I.D.Corpn. Ltd. </t>
  </si>
  <si>
    <t xml:space="preserve">Name of Work: Installation of submersible pump for water supply to 04 nos. of Govt. Quarter of Sr. Officers of West Bengal Police at D- Block Complex adjacent to Police Telecom Hqrs., 3, MB Sarani, Kolkata-700040. </t>
  </si>
  <si>
    <t>Contract No: WBPHIDCL/ACE/NIT- 141(e)/2019-2020 (1st Call)</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</si>
</sst>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0"/>
    <numFmt numFmtId="181" formatCode="0.0"/>
    <numFmt numFmtId="182" formatCode="0.000"/>
    <numFmt numFmtId="183" formatCode="0.0000%"/>
    <numFmt numFmtId="184" formatCode="0.00000"/>
    <numFmt numFmtId="185" formatCode="0.000%"/>
    <numFmt numFmtId="186" formatCode="&quot;₹&quot;\ #,##0.00"/>
    <numFmt numFmtId="187" formatCode="[$-4009]dd\ mmmm\ yyyy"/>
    <numFmt numFmtId="188" formatCode="[$-409]hh:mm:ss\ AM/PM"/>
    <numFmt numFmtId="189" formatCode="0.000000"/>
    <numFmt numFmtId="190" formatCode="0.0000000"/>
    <numFmt numFmtId="191" formatCode="0.00000000"/>
    <numFmt numFmtId="192" formatCode="0.000000000"/>
    <numFmt numFmtId="193" formatCode="0.0000000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u val="single"/>
      <sz val="16"/>
      <name val="Arial"/>
      <family val="2"/>
    </font>
    <font>
      <sz val="14"/>
      <color indexed="8"/>
      <name val="Times New Roman"/>
      <family val="1"/>
    </font>
    <font>
      <b/>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sz val="11"/>
      <color indexed="31"/>
      <name val="Arial"/>
      <family val="2"/>
    </font>
    <font>
      <b/>
      <sz val="14"/>
      <color indexed="17"/>
      <name val="Arial"/>
      <family val="2"/>
    </font>
    <font>
      <b/>
      <sz val="11"/>
      <color indexed="16"/>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sz val="11"/>
      <color theme="4" tint="0.7999799847602844"/>
      <name val="Arial"/>
      <family val="2"/>
    </font>
    <font>
      <b/>
      <sz val="14"/>
      <color theme="6" tint="-0.4999699890613556"/>
      <name val="Arial"/>
      <family val="2"/>
    </font>
    <font>
      <b/>
      <sz val="11"/>
      <color rgb="FF800000"/>
      <name val="Arial"/>
      <family val="2"/>
    </font>
    <font>
      <sz val="11"/>
      <color rgb="FF000000"/>
      <name val="Arial"/>
      <family val="2"/>
    </font>
    <font>
      <sz val="14"/>
      <color theme="1"/>
      <name val="Times New Roman"/>
      <family val="1"/>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1" fontId="0"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93">
    <xf numFmtId="0" fontId="0" fillId="0" borderId="0" xfId="0" applyFont="1" applyAlignment="1">
      <alignment/>
    </xf>
    <xf numFmtId="0" fontId="3" fillId="0" borderId="0" xfId="59" applyNumberFormat="1" applyFont="1" applyFill="1" applyBorder="1" applyAlignment="1">
      <alignment vertical="center"/>
      <protection/>
    </xf>
    <xf numFmtId="0" fontId="65" fillId="0" borderId="0" xfId="59" applyNumberFormat="1" applyFont="1" applyFill="1" applyBorder="1" applyAlignment="1" applyProtection="1">
      <alignment vertical="center"/>
      <protection locked="0"/>
    </xf>
    <xf numFmtId="0" fontId="65" fillId="0" borderId="0" xfId="59" applyNumberFormat="1" applyFont="1" applyFill="1" applyBorder="1" applyAlignment="1">
      <alignment vertical="center"/>
      <protection/>
    </xf>
    <xf numFmtId="0" fontId="2" fillId="0" borderId="0" xfId="59" applyNumberFormat="1" applyFont="1" applyFill="1" applyBorder="1" applyAlignment="1">
      <alignment vertical="center"/>
      <protection/>
    </xf>
    <xf numFmtId="0" fontId="4" fillId="0" borderId="0" xfId="59" applyNumberFormat="1" applyFont="1" applyFill="1" applyBorder="1" applyAlignment="1">
      <alignment horizontal="left"/>
      <protection/>
    </xf>
    <xf numFmtId="0" fontId="66" fillId="0" borderId="0" xfId="59" applyNumberFormat="1" applyFont="1" applyFill="1" applyBorder="1" applyAlignment="1">
      <alignment horizontal="left"/>
      <protection/>
    </xf>
    <xf numFmtId="0" fontId="3" fillId="0" borderId="0" xfId="59" applyNumberFormat="1" applyFont="1" applyFill="1" applyAlignment="1" applyProtection="1">
      <alignment vertical="center"/>
      <protection locked="0"/>
    </xf>
    <xf numFmtId="0" fontId="65" fillId="0" borderId="0" xfId="59" applyNumberFormat="1" applyFont="1" applyFill="1" applyAlignment="1" applyProtection="1">
      <alignment vertical="center"/>
      <protection locked="0"/>
    </xf>
    <xf numFmtId="0" fontId="3" fillId="0" borderId="0" xfId="59" applyNumberFormat="1" applyFont="1" applyFill="1" applyAlignment="1">
      <alignment vertical="center"/>
      <protection/>
    </xf>
    <xf numFmtId="0" fontId="65" fillId="0" borderId="0" xfId="59" applyNumberFormat="1" applyFont="1" applyFill="1" applyAlignment="1">
      <alignment vertical="center"/>
      <protection/>
    </xf>
    <xf numFmtId="0" fontId="2" fillId="0" borderId="10" xfId="59" applyNumberFormat="1" applyFont="1" applyFill="1" applyBorder="1" applyAlignment="1">
      <alignment horizontal="center" vertical="top" wrapText="1"/>
      <protection/>
    </xf>
    <xf numFmtId="0" fontId="3" fillId="0" borderId="0" xfId="59" applyNumberFormat="1" applyFont="1" applyFill="1">
      <alignment/>
      <protection/>
    </xf>
    <xf numFmtId="0" fontId="65" fillId="0" borderId="0" xfId="59" applyNumberFormat="1" applyFont="1" applyFill="1">
      <alignment/>
      <protection/>
    </xf>
    <xf numFmtId="0" fontId="2" fillId="0" borderId="11" xfId="59" applyNumberFormat="1" applyFont="1" applyFill="1" applyBorder="1" applyAlignment="1">
      <alignment horizontal="center" vertical="top" wrapText="1"/>
      <protection/>
    </xf>
    <xf numFmtId="0" fontId="3" fillId="0" borderId="0" xfId="59" applyNumberFormat="1" applyFont="1" applyFill="1" applyAlignment="1">
      <alignment vertical="top"/>
      <protection/>
    </xf>
    <xf numFmtId="0" fontId="65" fillId="0" borderId="0" xfId="59" applyNumberFormat="1" applyFont="1" applyFill="1" applyAlignment="1">
      <alignment vertical="top"/>
      <protection/>
    </xf>
    <xf numFmtId="0" fontId="3" fillId="0" borderId="10" xfId="59" applyNumberFormat="1" applyFont="1" applyFill="1" applyBorder="1" applyAlignment="1" applyProtection="1">
      <alignment vertical="top"/>
      <protection/>
    </xf>
    <xf numFmtId="0" fontId="3" fillId="0" borderId="0" xfId="59" applyNumberFormat="1" applyFont="1" applyFill="1" applyAlignment="1" applyProtection="1">
      <alignment vertical="top"/>
      <protection/>
    </xf>
    <xf numFmtId="0" fontId="65" fillId="0" borderId="0" xfId="59" applyNumberFormat="1" applyFont="1" applyFill="1" applyAlignment="1" applyProtection="1">
      <alignment vertical="top"/>
      <protection/>
    </xf>
    <xf numFmtId="0" fontId="0" fillId="0" borderId="0" xfId="59" applyNumberFormat="1" applyFill="1">
      <alignment/>
      <protection/>
    </xf>
    <xf numFmtId="0" fontId="67" fillId="0" borderId="0" xfId="59" applyNumberFormat="1" applyFont="1" applyFill="1">
      <alignment/>
      <protection/>
    </xf>
    <xf numFmtId="0" fontId="68" fillId="0" borderId="0" xfId="65" applyNumberFormat="1" applyFont="1" applyFill="1" applyBorder="1" applyAlignment="1" applyProtection="1">
      <alignment horizontal="center" vertical="center"/>
      <protection/>
    </xf>
    <xf numFmtId="0" fontId="2" fillId="0" borderId="12" xfId="65" applyNumberFormat="1" applyFont="1" applyFill="1" applyBorder="1" applyAlignment="1" applyProtection="1">
      <alignment horizontal="left" vertical="top" wrapText="1"/>
      <protection/>
    </xf>
    <xf numFmtId="0" fontId="2" fillId="0" borderId="13" xfId="65" applyNumberFormat="1" applyFont="1" applyFill="1" applyBorder="1" applyAlignment="1">
      <alignment horizontal="center" vertical="top" wrapText="1"/>
      <protection/>
    </xf>
    <xf numFmtId="0" fontId="69" fillId="0" borderId="10" xfId="65" applyNumberFormat="1" applyFont="1" applyFill="1" applyBorder="1" applyAlignment="1">
      <alignment vertical="top" wrapText="1"/>
      <protection/>
    </xf>
    <xf numFmtId="0" fontId="3" fillId="0" borderId="11" xfId="65" applyNumberFormat="1" applyFont="1" applyFill="1" applyBorder="1" applyAlignment="1">
      <alignment vertical="top" wrapText="1"/>
      <protection/>
    </xf>
    <xf numFmtId="0" fontId="2" fillId="0" borderId="11" xfId="65" applyNumberFormat="1" applyFont="1" applyFill="1" applyBorder="1" applyAlignment="1">
      <alignment horizontal="left" vertical="top"/>
      <protection/>
    </xf>
    <xf numFmtId="0" fontId="2" fillId="0" borderId="12" xfId="65" applyNumberFormat="1" applyFont="1" applyFill="1" applyBorder="1" applyAlignment="1">
      <alignment horizontal="left" vertical="top"/>
      <protection/>
    </xf>
    <xf numFmtId="0" fontId="3" fillId="0" borderId="14" xfId="65" applyNumberFormat="1" applyFont="1" applyFill="1" applyBorder="1" applyAlignment="1">
      <alignment vertical="top"/>
      <protection/>
    </xf>
    <xf numFmtId="0" fontId="6" fillId="0" borderId="15" xfId="65" applyNumberFormat="1" applyFont="1" applyFill="1" applyBorder="1" applyAlignment="1">
      <alignment vertical="top"/>
      <protection/>
    </xf>
    <xf numFmtId="0" fontId="3" fillId="0" borderId="15" xfId="65" applyNumberFormat="1" applyFont="1" applyFill="1" applyBorder="1" applyAlignment="1">
      <alignment vertical="top"/>
      <protection/>
    </xf>
    <xf numFmtId="0" fontId="14" fillId="0" borderId="10" xfId="65" applyNumberFormat="1" applyFont="1" applyFill="1" applyBorder="1" applyAlignment="1" applyProtection="1">
      <alignment vertical="center" wrapText="1"/>
      <protection locked="0"/>
    </xf>
    <xf numFmtId="0" fontId="70" fillId="33" borderId="10" xfId="65" applyNumberFormat="1" applyFont="1" applyFill="1" applyBorder="1" applyAlignment="1" applyProtection="1">
      <alignment vertical="center" wrapText="1"/>
      <protection locked="0"/>
    </xf>
    <xf numFmtId="0" fontId="71" fillId="0" borderId="10" xfId="65" applyNumberFormat="1" applyFont="1" applyFill="1" applyBorder="1" applyAlignment="1">
      <alignment vertical="top"/>
      <protection/>
    </xf>
    <xf numFmtId="0" fontId="13" fillId="0" borderId="10" xfId="65" applyNumberFormat="1" applyFont="1" applyFill="1" applyBorder="1" applyAlignment="1" applyProtection="1">
      <alignment vertical="center" wrapText="1"/>
      <protection locked="0"/>
    </xf>
    <xf numFmtId="0" fontId="13" fillId="0" borderId="10" xfId="71" applyNumberFormat="1" applyFont="1" applyFill="1" applyBorder="1" applyAlignment="1" applyProtection="1">
      <alignment vertical="center" wrapText="1"/>
      <protection locked="0"/>
    </xf>
    <xf numFmtId="0" fontId="14" fillId="0" borderId="10" xfId="65" applyNumberFormat="1" applyFont="1" applyFill="1" applyBorder="1" applyAlignment="1" applyProtection="1">
      <alignment vertical="center" wrapText="1"/>
      <protection/>
    </xf>
    <xf numFmtId="0" fontId="11" fillId="0" borderId="0" xfId="65" applyNumberFormat="1" applyFill="1">
      <alignment/>
      <protection/>
    </xf>
    <xf numFmtId="2" fontId="72" fillId="0" borderId="11" xfId="65" applyNumberFormat="1" applyFont="1" applyFill="1" applyBorder="1" applyAlignment="1">
      <alignment vertical="top"/>
      <protection/>
    </xf>
    <xf numFmtId="10" fontId="73" fillId="33" borderId="10" xfId="71" applyNumberFormat="1" applyFont="1" applyFill="1" applyBorder="1" applyAlignment="1" applyProtection="1">
      <alignment horizontal="center" vertical="center"/>
      <protection locked="0"/>
    </xf>
    <xf numFmtId="2" fontId="6" fillId="0" borderId="16" xfId="65" applyNumberFormat="1" applyFont="1" applyFill="1" applyBorder="1" applyAlignment="1">
      <alignment horizontal="right" vertical="top"/>
      <protection/>
    </xf>
    <xf numFmtId="0" fontId="17" fillId="0" borderId="11" xfId="65" applyNumberFormat="1" applyFont="1" applyFill="1" applyBorder="1" applyAlignment="1">
      <alignment vertical="top" wrapText="1"/>
      <protection/>
    </xf>
    <xf numFmtId="2" fontId="6" fillId="0" borderId="11" xfId="42" applyNumberFormat="1" applyFont="1" applyFill="1" applyBorder="1" applyAlignment="1">
      <alignment vertical="top"/>
    </xf>
    <xf numFmtId="180" fontId="3" fillId="0" borderId="11" xfId="65" applyNumberFormat="1" applyFont="1" applyFill="1" applyBorder="1" applyAlignment="1">
      <alignment vertical="center" readingOrder="1"/>
      <protection/>
    </xf>
    <xf numFmtId="0" fontId="3" fillId="0" borderId="11" xfId="59" applyNumberFormat="1" applyFont="1" applyFill="1" applyBorder="1" applyAlignment="1">
      <alignment horizontal="left" vertical="center" readingOrder="1"/>
      <protection/>
    </xf>
    <xf numFmtId="0" fontId="3" fillId="0" borderId="11" xfId="65" applyNumberFormat="1" applyFont="1" applyFill="1" applyBorder="1" applyAlignment="1">
      <alignment vertical="center" readingOrder="1"/>
      <protection/>
    </xf>
    <xf numFmtId="0" fontId="2" fillId="0" borderId="11" xfId="59" applyNumberFormat="1" applyFont="1" applyFill="1" applyBorder="1" applyAlignment="1" applyProtection="1">
      <alignment horizontal="right" vertical="center" readingOrder="1"/>
      <protection/>
    </xf>
    <xf numFmtId="0" fontId="3" fillId="0" borderId="11" xfId="59" applyNumberFormat="1" applyFont="1" applyFill="1" applyBorder="1" applyAlignment="1">
      <alignment vertical="center" readingOrder="1"/>
      <protection/>
    </xf>
    <xf numFmtId="0" fontId="2" fillId="0" borderId="11" xfId="59" applyNumberFormat="1" applyFont="1" applyFill="1" applyBorder="1" applyAlignment="1" applyProtection="1">
      <alignment horizontal="left" vertical="center" readingOrder="1"/>
      <protection locked="0"/>
    </xf>
    <xf numFmtId="0" fontId="3" fillId="0" borderId="11" xfId="59" applyNumberFormat="1" applyFont="1" applyFill="1" applyBorder="1" applyAlignment="1" applyProtection="1">
      <alignment vertical="center" readingOrder="1"/>
      <protection/>
    </xf>
    <xf numFmtId="0" fontId="2" fillId="0" borderId="17" xfId="59" applyNumberFormat="1" applyFont="1" applyFill="1" applyBorder="1" applyAlignment="1" applyProtection="1">
      <alignment horizontal="right" vertical="center" readingOrder="1"/>
      <protection locked="0"/>
    </xf>
    <xf numFmtId="0" fontId="2" fillId="0" borderId="18" xfId="59" applyNumberFormat="1" applyFont="1" applyFill="1" applyBorder="1" applyAlignment="1" applyProtection="1">
      <alignment horizontal="center" vertical="center" wrapText="1" readingOrder="1"/>
      <protection locked="0"/>
    </xf>
    <xf numFmtId="0" fontId="2" fillId="0" borderId="11" xfId="59" applyNumberFormat="1" applyFont="1" applyFill="1" applyBorder="1" applyAlignment="1" applyProtection="1">
      <alignment horizontal="center" vertical="center" wrapText="1" readingOrder="1"/>
      <protection locked="0"/>
    </xf>
    <xf numFmtId="0" fontId="2" fillId="0" borderId="19" xfId="65" applyNumberFormat="1" applyFont="1" applyFill="1" applyBorder="1" applyAlignment="1">
      <alignment horizontal="right" vertical="center" readingOrder="1"/>
      <protection/>
    </xf>
    <xf numFmtId="180" fontId="2" fillId="0" borderId="19" xfId="65" applyNumberFormat="1" applyFont="1" applyFill="1" applyBorder="1" applyAlignment="1">
      <alignment horizontal="right" vertical="center" readingOrder="1"/>
      <protection/>
    </xf>
    <xf numFmtId="0" fontId="3" fillId="0" borderId="11" xfId="65" applyNumberFormat="1" applyFont="1" applyFill="1" applyBorder="1" applyAlignment="1">
      <alignment vertical="center" wrapText="1" readingOrder="1"/>
      <protection/>
    </xf>
    <xf numFmtId="0" fontId="2" fillId="0" borderId="11" xfId="59" applyNumberFormat="1" applyFont="1" applyFill="1" applyBorder="1" applyAlignment="1" applyProtection="1">
      <alignment horizontal="right" vertical="center" readingOrder="1"/>
      <protection locked="0"/>
    </xf>
    <xf numFmtId="0" fontId="2" fillId="33" borderId="17" xfId="59" applyNumberFormat="1" applyFont="1" applyFill="1" applyBorder="1" applyAlignment="1" applyProtection="1">
      <alignment horizontal="right" vertical="center" readingOrder="1"/>
      <protection locked="0"/>
    </xf>
    <xf numFmtId="0" fontId="2" fillId="0" borderId="10" xfId="59" applyNumberFormat="1" applyFont="1" applyFill="1" applyBorder="1" applyAlignment="1" applyProtection="1">
      <alignment horizontal="center" vertical="center" wrapText="1" readingOrder="1"/>
      <protection locked="0"/>
    </xf>
    <xf numFmtId="2" fontId="2" fillId="0" borderId="19" xfId="65" applyNumberFormat="1" applyFont="1" applyFill="1" applyBorder="1" applyAlignment="1">
      <alignment horizontal="right" vertical="center" readingOrder="1"/>
      <protection/>
    </xf>
    <xf numFmtId="2" fontId="2" fillId="0" borderId="19" xfId="64" applyNumberFormat="1" applyFont="1" applyFill="1" applyBorder="1" applyAlignment="1">
      <alignment horizontal="right" vertical="center" readingOrder="1"/>
      <protection/>
    </xf>
    <xf numFmtId="0" fontId="2" fillId="0" borderId="13" xfId="59" applyNumberFormat="1" applyFont="1" applyFill="1" applyBorder="1" applyAlignment="1">
      <alignment horizontal="center" vertical="top" wrapText="1"/>
      <protection/>
    </xf>
    <xf numFmtId="0" fontId="2" fillId="0" borderId="12" xfId="59" applyNumberFormat="1" applyFont="1" applyFill="1" applyBorder="1" applyAlignment="1">
      <alignment horizontal="center" vertical="top" wrapText="1"/>
      <protection/>
    </xf>
    <xf numFmtId="0" fontId="3" fillId="0" borderId="12" xfId="65" applyNumberFormat="1" applyFont="1" applyFill="1" applyBorder="1" applyAlignment="1">
      <alignment horizontal="center" vertical="top"/>
      <protection/>
    </xf>
    <xf numFmtId="0" fontId="2" fillId="0" borderId="16" xfId="59" applyNumberFormat="1" applyFont="1" applyFill="1" applyBorder="1" applyAlignment="1">
      <alignment horizontal="center" vertical="top" wrapText="1"/>
      <protection/>
    </xf>
    <xf numFmtId="0" fontId="2" fillId="0" borderId="20" xfId="59" applyNumberFormat="1" applyFont="1" applyFill="1" applyBorder="1" applyAlignment="1">
      <alignment horizontal="center" vertical="top" wrapText="1"/>
      <protection/>
    </xf>
    <xf numFmtId="0" fontId="71" fillId="0" borderId="14" xfId="59" applyNumberFormat="1" applyFont="1" applyFill="1" applyBorder="1" applyAlignment="1" applyProtection="1">
      <alignment vertical="top"/>
      <protection/>
    </xf>
    <xf numFmtId="0" fontId="3" fillId="0" borderId="0" xfId="59" applyNumberFormat="1" applyFont="1" applyFill="1" applyBorder="1">
      <alignment/>
      <protection/>
    </xf>
    <xf numFmtId="0" fontId="0" fillId="0" borderId="0" xfId="59" applyNumberFormat="1" applyFill="1" applyBorder="1">
      <alignment/>
      <protection/>
    </xf>
    <xf numFmtId="2" fontId="3" fillId="0" borderId="11" xfId="59" applyNumberFormat="1" applyFont="1" applyFill="1" applyBorder="1" applyAlignment="1">
      <alignment horizontal="center" vertical="center"/>
      <protection/>
    </xf>
    <xf numFmtId="0" fontId="74" fillId="0" borderId="20" xfId="65" applyNumberFormat="1" applyFont="1" applyFill="1" applyBorder="1" applyAlignment="1">
      <alignment horizontal="left" vertical="center" wrapText="1" readingOrder="1"/>
      <protection/>
    </xf>
    <xf numFmtId="2" fontId="3" fillId="0" borderId="0" xfId="59" applyNumberFormat="1" applyFont="1" applyFill="1" applyAlignment="1">
      <alignment vertical="top"/>
      <protection/>
    </xf>
    <xf numFmtId="182" fontId="3" fillId="0" borderId="0" xfId="59" applyNumberFormat="1" applyFont="1" applyFill="1" applyAlignment="1">
      <alignment vertical="top"/>
      <protection/>
    </xf>
    <xf numFmtId="2" fontId="3" fillId="0" borderId="0" xfId="59" applyNumberFormat="1" applyFont="1" applyFill="1" applyAlignment="1" applyProtection="1">
      <alignment vertical="top"/>
      <protection/>
    </xf>
    <xf numFmtId="43" fontId="3" fillId="0" borderId="0" xfId="59" applyNumberFormat="1" applyFont="1" applyFill="1" applyAlignment="1">
      <alignment vertical="top"/>
      <protection/>
    </xf>
    <xf numFmtId="0" fontId="75" fillId="0" borderId="11" xfId="0" applyFont="1" applyFill="1" applyBorder="1" applyAlignment="1">
      <alignment horizontal="left" vertical="top" wrapText="1"/>
    </xf>
    <xf numFmtId="182" fontId="75" fillId="0" borderId="11" xfId="0" applyNumberFormat="1" applyFont="1" applyFill="1" applyBorder="1" applyAlignment="1">
      <alignment horizontal="center"/>
    </xf>
    <xf numFmtId="171" fontId="75" fillId="0" borderId="11" xfId="44" applyFont="1" applyFill="1" applyBorder="1" applyAlignment="1">
      <alignment horizontal="center"/>
    </xf>
    <xf numFmtId="0" fontId="75" fillId="0" borderId="11" xfId="0" applyFont="1" applyFill="1" applyBorder="1" applyAlignment="1">
      <alignment horizontal="center"/>
    </xf>
    <xf numFmtId="0" fontId="75" fillId="0" borderId="11" xfId="0" applyFont="1" applyFill="1" applyBorder="1" applyAlignment="1">
      <alignment vertical="top" wrapText="1"/>
    </xf>
    <xf numFmtId="0" fontId="2" fillId="0" borderId="12" xfId="59" applyNumberFormat="1" applyFont="1" applyFill="1" applyBorder="1" applyAlignment="1">
      <alignment horizontal="center" vertical="center" wrapText="1"/>
      <protection/>
    </xf>
    <xf numFmtId="0" fontId="2" fillId="0" borderId="15" xfId="59" applyNumberFormat="1" applyFont="1" applyFill="1" applyBorder="1" applyAlignment="1">
      <alignment horizontal="center" vertical="center" wrapText="1"/>
      <protection/>
    </xf>
    <xf numFmtId="0" fontId="2" fillId="0" borderId="20" xfId="59" applyNumberFormat="1" applyFont="1" applyFill="1" applyBorder="1" applyAlignment="1">
      <alignment horizontal="center" vertical="center" wrapText="1"/>
      <protection/>
    </xf>
    <xf numFmtId="0" fontId="6" fillId="0" borderId="15" xfId="65" applyNumberFormat="1" applyFont="1" applyFill="1" applyBorder="1" applyAlignment="1">
      <alignment horizontal="center" vertical="top" wrapText="1"/>
      <protection/>
    </xf>
    <xf numFmtId="0" fontId="6" fillId="0" borderId="20" xfId="65" applyNumberFormat="1" applyFont="1" applyFill="1" applyBorder="1" applyAlignment="1">
      <alignment horizontal="center" vertical="top" wrapText="1"/>
      <protection/>
    </xf>
    <xf numFmtId="0" fontId="76" fillId="0" borderId="0" xfId="59" applyNumberFormat="1" applyFont="1" applyFill="1" applyBorder="1" applyAlignment="1">
      <alignment horizontal="right" vertical="top"/>
      <protection/>
    </xf>
    <xf numFmtId="0" fontId="5" fillId="0" borderId="0" xfId="59" applyNumberFormat="1" applyFont="1" applyFill="1" applyBorder="1" applyAlignment="1">
      <alignment horizontal="left" vertical="center" wrapText="1"/>
      <protection/>
    </xf>
    <xf numFmtId="0" fontId="66" fillId="0" borderId="21" xfId="59" applyNumberFormat="1" applyFont="1" applyFill="1" applyBorder="1" applyAlignment="1" applyProtection="1">
      <alignment horizontal="center" wrapText="1"/>
      <protection locked="0"/>
    </xf>
    <xf numFmtId="0" fontId="2" fillId="33" borderId="12" xfId="65" applyNumberFormat="1" applyFont="1" applyFill="1" applyBorder="1" applyAlignment="1" applyProtection="1">
      <alignment horizontal="left" vertical="top"/>
      <protection locked="0"/>
    </xf>
    <xf numFmtId="0" fontId="2" fillId="0" borderId="15" xfId="65" applyNumberFormat="1" applyFont="1" applyFill="1" applyBorder="1" applyAlignment="1" applyProtection="1">
      <alignment horizontal="left" vertical="top"/>
      <protection locked="0"/>
    </xf>
    <xf numFmtId="0" fontId="2" fillId="0" borderId="20" xfId="65"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rmal 2 2" xfId="60"/>
    <cellStyle name="Normal 2 2 2" xfId="61"/>
    <cellStyle name="Normal 2 2 3" xfId="62"/>
    <cellStyle name="Normal 2 3" xfId="63"/>
    <cellStyle name="Normal 3" xfId="64"/>
    <cellStyle name="Normal 4" xfId="65"/>
    <cellStyle name="Normal 6 3" xfId="66"/>
    <cellStyle name="Note" xfId="67"/>
    <cellStyle name="Output" xfId="68"/>
    <cellStyle name="Percent" xfId="69"/>
    <cellStyle name="Percent 2" xfId="70"/>
    <cellStyle name="Percent 3"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2257425</xdr:colOff>
      <xdr:row>0</xdr:row>
      <xdr:rowOff>285750</xdr:rowOff>
    </xdr:to>
    <xdr:grpSp>
      <xdr:nvGrpSpPr>
        <xdr:cNvPr id="1" name="Group 1"/>
        <xdr:cNvGrpSpPr>
          <a:grpSpLocks noChangeAspect="1"/>
        </xdr:cNvGrpSpPr>
      </xdr:nvGrpSpPr>
      <xdr:grpSpPr>
        <a:xfrm>
          <a:off x="66675" y="76200"/>
          <a:ext cx="3095625"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1.5\Documents\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92.168.1.5\Documents\Users\KP%204\Desktop\Tender_SIRB.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et_Ren%20&amp;%20Upgr%20-%20Final%20Police%20Parade%20Ground_12.02.2019.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owrah%20ps.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ard%20copy.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bstract"/>
      <sheetName val="Consolidated"/>
      <sheetName val="Electrical"/>
      <sheetName val="Admin"/>
      <sheetName val="Academic"/>
      <sheetName val="Store"/>
      <sheetName val="Barrack A"/>
      <sheetName val="Barrack B"/>
      <sheetName val="Dining"/>
      <sheetName val="Guest House"/>
      <sheetName val="M20"/>
      <sheetName val="M25"/>
      <sheetName val="M35"/>
      <sheetName val="Total"/>
    </sheetNames>
    <sheetDataSet>
      <sheetData sheetId="12">
        <row r="21">
          <cell r="G21">
            <v>6651.63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reface"/>
      <sheetName val="Dt_Estm"/>
      <sheetName val="Abs_Estm"/>
      <sheetName val="Final_Abs"/>
      <sheetName val="M25_RCC"/>
      <sheetName val="M20_Roof"/>
      <sheetName val="PP"/>
      <sheetName val="Dt_BW_125"/>
      <sheetName val="Abs_BW"/>
      <sheetName val="Rate Ana (2)"/>
      <sheetName val="Rly. Frt. (2)"/>
      <sheetName val="Driveway"/>
      <sheetName val="PATHWAY"/>
      <sheetName val="Sr_Drain"/>
      <sheetName val="Lnd_Dev"/>
      <sheetName val="Compound Lighting"/>
      <sheetName val="Elec. Estimate"/>
    </sheetNames>
    <sheetDataSet>
      <sheetData sheetId="3">
        <row r="16">
          <cell r="D16">
            <v>1564329.845512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ESTM"/>
      <sheetName val="PRE- FACING REPORT"/>
      <sheetName val="ABSTRACT "/>
      <sheetName val="RATE ANALYSIS FOR CONCRETE"/>
      <sheetName val="ESTM (2)"/>
      <sheetName val="ABSTRACT  (2)"/>
      <sheetName val="PRE- FACING REPORT (2)"/>
      <sheetName val="Sheet1"/>
      <sheetName val="Final boq"/>
      <sheetName val="Sheet1 (2)"/>
      <sheetName val="Sheet4"/>
    </sheetNames>
    <sheetDataSet>
      <sheetData sheetId="5">
        <row r="12">
          <cell r="C12">
            <v>8208107.679264002</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bs"/>
      <sheetName val="hard copy"/>
      <sheetName val="Sheet3"/>
    </sheetNames>
    <sheetDataSet>
      <sheetData sheetId="0">
        <row r="11">
          <cell r="D11">
            <v>12551317.318096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HV54"/>
  <sheetViews>
    <sheetView showGridLines="0" view="pageBreakPreview" zoomScale="80" zoomScaleNormal="70" zoomScaleSheetLayoutView="80" zoomScalePageLayoutView="0" workbookViewId="0" topLeftCell="A47">
      <selection activeCell="D52" sqref="D52"/>
    </sheetView>
  </sheetViews>
  <sheetFormatPr defaultColWidth="9.140625" defaultRowHeight="15"/>
  <cols>
    <col min="1" max="1" width="13.57421875" style="20" customWidth="1"/>
    <col min="2" max="2" width="64.8515625" style="69" customWidth="1"/>
    <col min="3" max="3" width="10.00390625" style="20" hidden="1" customWidth="1"/>
    <col min="4" max="4" width="15.140625" style="20" customWidth="1"/>
    <col min="5" max="5" width="14.140625" style="20" customWidth="1"/>
    <col min="6" max="6" width="15.57421875" style="20" customWidth="1"/>
    <col min="7" max="7" width="14.140625" style="20" hidden="1" customWidth="1"/>
    <col min="8" max="10" width="12.140625" style="20" hidden="1" customWidth="1"/>
    <col min="11" max="11" width="19.57421875" style="20" hidden="1" customWidth="1"/>
    <col min="12" max="12" width="14.28125" style="20" hidden="1" customWidth="1"/>
    <col min="13" max="13" width="17.421875" style="20" hidden="1" customWidth="1"/>
    <col min="14" max="14" width="15.28125" style="38" hidden="1" customWidth="1"/>
    <col min="15" max="15" width="14.28125" style="20" hidden="1" customWidth="1"/>
    <col min="16" max="16" width="17.28125" style="20" hidden="1" customWidth="1"/>
    <col min="17" max="17" width="18.421875" style="20" hidden="1" customWidth="1"/>
    <col min="18" max="18" width="17.421875" style="20" hidden="1" customWidth="1"/>
    <col min="19" max="19" width="14.7109375" style="20" hidden="1" customWidth="1"/>
    <col min="20" max="20" width="14.8515625" style="20" hidden="1" customWidth="1"/>
    <col min="21" max="21" width="16.421875" style="20" hidden="1" customWidth="1"/>
    <col min="22" max="22" width="13.00390625" style="20" hidden="1" customWidth="1"/>
    <col min="23" max="51" width="9.140625" style="20" hidden="1" customWidth="1"/>
    <col min="52" max="52" width="10.28125" style="20" hidden="1" customWidth="1"/>
    <col min="53" max="53" width="21.7109375" style="20" customWidth="1"/>
    <col min="54" max="54" width="18.8515625" style="20" hidden="1" customWidth="1"/>
    <col min="55" max="55" width="56.140625" style="20" customWidth="1"/>
    <col min="56" max="56" width="16.8515625" style="20" hidden="1" customWidth="1"/>
    <col min="57" max="57" width="10.7109375" style="20" hidden="1" customWidth="1"/>
    <col min="58" max="58" width="15.00390625" style="20" hidden="1" customWidth="1"/>
    <col min="59" max="59" width="12.8515625" style="20" hidden="1" customWidth="1"/>
    <col min="60" max="60" width="14.00390625" style="20" hidden="1" customWidth="1"/>
    <col min="61" max="61" width="11.140625" style="20" hidden="1" customWidth="1"/>
    <col min="62" max="62" width="0" style="20" hidden="1" customWidth="1"/>
    <col min="63" max="63" width="0.2890625" style="20" hidden="1" customWidth="1"/>
    <col min="64" max="64" width="0.42578125" style="20" hidden="1" customWidth="1"/>
    <col min="65" max="65" width="9.140625" style="20" hidden="1" customWidth="1"/>
    <col min="66" max="66" width="14.00390625" style="20" hidden="1" customWidth="1"/>
    <col min="67" max="69" width="9.140625" style="20" hidden="1" customWidth="1"/>
    <col min="70" max="224" width="9.140625" style="20" customWidth="1"/>
    <col min="225" max="229" width="9.140625" style="21" customWidth="1"/>
    <col min="230" max="16384" width="9.140625" style="20" customWidth="1"/>
  </cols>
  <sheetData>
    <row r="1" spans="1:229" s="1" customFormat="1" ht="27" customHeight="1">
      <c r="A1" s="86" t="str">
        <f>B2&amp;" BoQ"</f>
        <v>Percentage BoQ</v>
      </c>
      <c r="B1" s="86"/>
      <c r="C1" s="86"/>
      <c r="D1" s="86"/>
      <c r="E1" s="86"/>
      <c r="F1" s="86"/>
      <c r="G1" s="86"/>
      <c r="H1" s="86"/>
      <c r="I1" s="86"/>
      <c r="J1" s="86"/>
      <c r="K1" s="86"/>
      <c r="L1" s="86"/>
      <c r="O1" s="2"/>
      <c r="P1" s="2"/>
      <c r="Q1" s="3"/>
      <c r="HQ1" s="3"/>
      <c r="HR1" s="3"/>
      <c r="HS1" s="3"/>
      <c r="HT1" s="3"/>
      <c r="HU1" s="3"/>
    </row>
    <row r="2" spans="1:17" s="1" customFormat="1" ht="25.5" customHeight="1" hidden="1">
      <c r="A2" s="22" t="s">
        <v>4</v>
      </c>
      <c r="B2" s="22" t="s">
        <v>63</v>
      </c>
      <c r="C2" s="22" t="s">
        <v>5</v>
      </c>
      <c r="D2" s="22" t="s">
        <v>6</v>
      </c>
      <c r="E2" s="22" t="s">
        <v>7</v>
      </c>
      <c r="J2" s="4"/>
      <c r="K2" s="4"/>
      <c r="L2" s="4"/>
      <c r="O2" s="2"/>
      <c r="P2" s="2"/>
      <c r="Q2" s="3"/>
    </row>
    <row r="3" spans="1:229" s="1" customFormat="1" ht="30" customHeight="1" hidden="1">
      <c r="A3" s="1" t="s">
        <v>68</v>
      </c>
      <c r="C3" s="1" t="s">
        <v>67</v>
      </c>
      <c r="HQ3" s="3"/>
      <c r="HR3" s="3"/>
      <c r="HS3" s="3"/>
      <c r="HT3" s="3"/>
      <c r="HU3" s="3"/>
    </row>
    <row r="4" spans="1:229" s="5" customFormat="1" ht="30.75" customHeight="1">
      <c r="A4" s="87" t="s">
        <v>140</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HQ4" s="6"/>
      <c r="HR4" s="6"/>
      <c r="HS4" s="6"/>
      <c r="HT4" s="6"/>
      <c r="HU4" s="6"/>
    </row>
    <row r="5" spans="1:229" s="5" customFormat="1" ht="50.25" customHeight="1">
      <c r="A5" s="87" t="s">
        <v>141</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HQ5" s="6"/>
      <c r="HR5" s="6"/>
      <c r="HS5" s="6"/>
      <c r="HT5" s="6"/>
      <c r="HU5" s="6"/>
    </row>
    <row r="6" spans="1:229" s="5" customFormat="1" ht="30.75" customHeight="1">
      <c r="A6" s="87" t="s">
        <v>142</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HQ6" s="6"/>
      <c r="HR6" s="6"/>
      <c r="HS6" s="6"/>
      <c r="HT6" s="6"/>
      <c r="HU6" s="6"/>
    </row>
    <row r="7" spans="1:229" s="5" customFormat="1" ht="29.25" customHeight="1" hidden="1">
      <c r="A7" s="88" t="s">
        <v>8</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HQ7" s="6"/>
      <c r="HR7" s="6"/>
      <c r="HS7" s="6"/>
      <c r="HT7" s="6"/>
      <c r="HU7" s="6"/>
    </row>
    <row r="8" spans="1:229" s="7" customFormat="1" ht="37.5" customHeight="1">
      <c r="A8" s="23" t="s">
        <v>9</v>
      </c>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1"/>
      <c r="HQ8" s="8"/>
      <c r="HR8" s="8"/>
      <c r="HS8" s="8"/>
      <c r="HT8" s="8"/>
      <c r="HU8" s="8"/>
    </row>
    <row r="9" spans="1:229" s="9" customFormat="1" ht="61.5" customHeight="1">
      <c r="A9" s="81" t="s">
        <v>10</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3"/>
      <c r="HQ9" s="10"/>
      <c r="HR9" s="10"/>
      <c r="HS9" s="10"/>
      <c r="HT9" s="10"/>
      <c r="HU9" s="10"/>
    </row>
    <row r="10" spans="1:229" s="12" customFormat="1" ht="18.75" customHeight="1">
      <c r="A10" s="62" t="s">
        <v>11</v>
      </c>
      <c r="B10" s="14" t="s">
        <v>12</v>
      </c>
      <c r="C10" s="65"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HQ10" s="13"/>
      <c r="HR10" s="13"/>
      <c r="HS10" s="13"/>
      <c r="HT10" s="13"/>
      <c r="HU10" s="13"/>
    </row>
    <row r="11" spans="1:229" s="12" customFormat="1" ht="67.5" customHeight="1">
      <c r="A11" s="62" t="s">
        <v>0</v>
      </c>
      <c r="B11" s="14" t="s">
        <v>17</v>
      </c>
      <c r="C11" s="65" t="s">
        <v>1</v>
      </c>
      <c r="D11" s="11" t="s">
        <v>18</v>
      </c>
      <c r="E11" s="11" t="s">
        <v>19</v>
      </c>
      <c r="F11" s="11" t="s">
        <v>2</v>
      </c>
      <c r="G11" s="11"/>
      <c r="H11" s="11"/>
      <c r="I11" s="11" t="s">
        <v>20</v>
      </c>
      <c r="J11" s="11" t="s">
        <v>21</v>
      </c>
      <c r="K11" s="11" t="s">
        <v>22</v>
      </c>
      <c r="L11" s="11" t="s">
        <v>23</v>
      </c>
      <c r="M11" s="24"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25" t="s">
        <v>32</v>
      </c>
      <c r="BB11" s="25" t="s">
        <v>32</v>
      </c>
      <c r="BC11" s="25" t="s">
        <v>33</v>
      </c>
      <c r="HQ11" s="13"/>
      <c r="HR11" s="13"/>
      <c r="HS11" s="13"/>
      <c r="HT11" s="13"/>
      <c r="HU11" s="13"/>
    </row>
    <row r="12" spans="1:229" s="12" customFormat="1" ht="15">
      <c r="A12" s="63">
        <v>1</v>
      </c>
      <c r="B12" s="14">
        <v>2</v>
      </c>
      <c r="C12" s="66">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HQ12" s="13"/>
      <c r="HR12" s="13"/>
      <c r="HS12" s="13"/>
      <c r="HT12" s="13"/>
      <c r="HU12" s="13"/>
    </row>
    <row r="13" spans="1:229" s="15" customFormat="1" ht="28.5" customHeight="1">
      <c r="A13" s="64">
        <v>1</v>
      </c>
      <c r="B13" s="42" t="s">
        <v>91</v>
      </c>
      <c r="C13" s="71" t="s">
        <v>34</v>
      </c>
      <c r="D13" s="44"/>
      <c r="E13" s="45"/>
      <c r="F13" s="46"/>
      <c r="G13" s="47"/>
      <c r="H13" s="47"/>
      <c r="I13" s="46"/>
      <c r="J13" s="48"/>
      <c r="K13" s="49"/>
      <c r="L13" s="49"/>
      <c r="M13" s="50"/>
      <c r="N13" s="51"/>
      <c r="O13" s="51"/>
      <c r="P13" s="52"/>
      <c r="Q13" s="51"/>
      <c r="R13" s="51"/>
      <c r="S13" s="52"/>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c r="BB13" s="55"/>
      <c r="BC13" s="56"/>
      <c r="HQ13" s="16">
        <v>1</v>
      </c>
      <c r="HR13" s="16" t="s">
        <v>35</v>
      </c>
      <c r="HS13" s="16" t="s">
        <v>36</v>
      </c>
      <c r="HT13" s="16">
        <v>10</v>
      </c>
      <c r="HU13" s="16" t="s">
        <v>37</v>
      </c>
    </row>
    <row r="14" spans="1:230" s="15" customFormat="1" ht="119.25" customHeight="1">
      <c r="A14" s="64">
        <v>2</v>
      </c>
      <c r="B14" s="76" t="s">
        <v>95</v>
      </c>
      <c r="C14" s="71" t="s">
        <v>89</v>
      </c>
      <c r="D14" s="77">
        <v>1</v>
      </c>
      <c r="E14" s="78" t="s">
        <v>116</v>
      </c>
      <c r="F14" s="79">
        <v>23755.2</v>
      </c>
      <c r="G14" s="57">
        <v>60</v>
      </c>
      <c r="H14" s="47"/>
      <c r="I14" s="46" t="s">
        <v>39</v>
      </c>
      <c r="J14" s="48">
        <f>IF(I14="Less(-)",-1,1)</f>
        <v>1</v>
      </c>
      <c r="K14" s="49" t="s">
        <v>64</v>
      </c>
      <c r="L14" s="49" t="s">
        <v>7</v>
      </c>
      <c r="M14" s="58"/>
      <c r="N14" s="57"/>
      <c r="O14" s="57"/>
      <c r="P14" s="59"/>
      <c r="Q14" s="57"/>
      <c r="R14" s="57"/>
      <c r="S14" s="59"/>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60">
        <f>total_amount_ba($B$2,$D$2,D14,F14,J14,K14,M14)</f>
        <v>23755.2</v>
      </c>
      <c r="BB14" s="61">
        <f>BA14+SUM(N14:AZ14)</f>
        <v>23755.2</v>
      </c>
      <c r="BC14" s="56" t="str">
        <f>SpellNumber(L14,BB14)</f>
        <v>INR  Twenty Three Thousand Seven Hundred &amp; Fifty Five  and Paise Twenty Only</v>
      </c>
      <c r="BD14" s="70">
        <v>10</v>
      </c>
      <c r="BE14" s="72">
        <f>BD14*1.12*1.01</f>
        <v>11.31</v>
      </c>
      <c r="BF14" s="72">
        <f>D14*BD14</f>
        <v>10</v>
      </c>
      <c r="BG14" s="72"/>
      <c r="BI14" s="73"/>
      <c r="BJ14" s="73"/>
      <c r="BK14" s="15">
        <f>ROUND(F14*1.12*1.01,2)</f>
        <v>26871.88</v>
      </c>
      <c r="BM14" s="15">
        <f>ROUND(F14*1.12*1.01,2)</f>
        <v>26871.88</v>
      </c>
      <c r="BN14" s="72">
        <f>ROUND(F14,2)</f>
        <v>23755.2</v>
      </c>
      <c r="BO14" s="15">
        <f>ROUND(BN14*1.12*1.01,2)</f>
        <v>26871.88</v>
      </c>
      <c r="BP14" s="79">
        <v>21000</v>
      </c>
      <c r="BQ14" s="15">
        <f>BP14*1.01*1.12</f>
        <v>23755.2</v>
      </c>
      <c r="HR14" s="16">
        <v>2</v>
      </c>
      <c r="HS14" s="16" t="s">
        <v>35</v>
      </c>
      <c r="HT14" s="16" t="s">
        <v>44</v>
      </c>
      <c r="HU14" s="16">
        <v>10</v>
      </c>
      <c r="HV14" s="16" t="s">
        <v>38</v>
      </c>
    </row>
    <row r="15" spans="1:230" s="15" customFormat="1" ht="201.75" customHeight="1">
      <c r="A15" s="64">
        <v>3</v>
      </c>
      <c r="B15" s="76" t="s">
        <v>96</v>
      </c>
      <c r="C15" s="71" t="s">
        <v>90</v>
      </c>
      <c r="D15" s="77">
        <v>50</v>
      </c>
      <c r="E15" s="78" t="s">
        <v>92</v>
      </c>
      <c r="F15" s="79">
        <v>1147.0368</v>
      </c>
      <c r="G15" s="57">
        <v>160.15</v>
      </c>
      <c r="H15" s="47"/>
      <c r="I15" s="46" t="s">
        <v>39</v>
      </c>
      <c r="J15" s="48">
        <f>IF(I15="Less(-)",-1,1)</f>
        <v>1</v>
      </c>
      <c r="K15" s="49" t="s">
        <v>64</v>
      </c>
      <c r="L15" s="49" t="s">
        <v>7</v>
      </c>
      <c r="M15" s="58"/>
      <c r="N15" s="57"/>
      <c r="O15" s="57"/>
      <c r="P15" s="59"/>
      <c r="Q15" s="57"/>
      <c r="R15" s="57"/>
      <c r="S15" s="59"/>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60">
        <f>total_amount_ba($B$2,$D$2,D15,F15,J15,K15,M15)</f>
        <v>57351.84</v>
      </c>
      <c r="BB15" s="61">
        <f>BA15+SUM(N15:AZ15)</f>
        <v>57351.84</v>
      </c>
      <c r="BC15" s="56" t="str">
        <f>SpellNumber(L15,BB15)</f>
        <v>INR  Fifty Seven Thousand Three Hundred &amp; Fifty One  and Paise Eighty Four Only</v>
      </c>
      <c r="BD15" s="70">
        <v>119.27</v>
      </c>
      <c r="BE15" s="72">
        <f aca="true" t="shared" si="0" ref="BE15:BE48">BD15*1.12*1.01</f>
        <v>134.92</v>
      </c>
      <c r="BF15" s="72">
        <f aca="true" t="shared" si="1" ref="BF15:BF48">D15*BD15</f>
        <v>5963.5</v>
      </c>
      <c r="BG15" s="72">
        <f>255.92/F15</f>
        <v>0.22</v>
      </c>
      <c r="BH15" s="73">
        <f>D15+1.9</f>
        <v>51.9</v>
      </c>
      <c r="BK15" s="15">
        <f aca="true" t="shared" si="2" ref="BK15:BK48">ROUND(F15*1.12*1.01,2)</f>
        <v>1297.53</v>
      </c>
      <c r="BL15" s="15">
        <f aca="true" t="shared" si="3" ref="BL15:BL48">ROUND(F14*1.12*1.01,2)</f>
        <v>26871.88</v>
      </c>
      <c r="BM15" s="15">
        <f aca="true" t="shared" si="4" ref="BM15:BM48">ROUND(F15*1.12*1.01,2)</f>
        <v>1297.53</v>
      </c>
      <c r="BN15" s="72">
        <f aca="true" t="shared" si="5" ref="BN15:BN48">ROUND(F15,2)</f>
        <v>1147.04</v>
      </c>
      <c r="BO15" s="15">
        <f aca="true" t="shared" si="6" ref="BO15:BO48">ROUND(BN15*1.12*1.01,2)</f>
        <v>1297.53</v>
      </c>
      <c r="BP15" s="79">
        <v>1014</v>
      </c>
      <c r="BQ15" s="15">
        <f aca="true" t="shared" si="7" ref="BQ15:BQ50">BP15*1.01*1.12</f>
        <v>1147.0368</v>
      </c>
      <c r="HR15" s="16">
        <v>2</v>
      </c>
      <c r="HS15" s="16" t="s">
        <v>35</v>
      </c>
      <c r="HT15" s="16" t="s">
        <v>44</v>
      </c>
      <c r="HU15" s="16">
        <v>10</v>
      </c>
      <c r="HV15" s="16" t="s">
        <v>38</v>
      </c>
    </row>
    <row r="16" spans="1:230" s="15" customFormat="1" ht="180" customHeight="1">
      <c r="A16" s="64">
        <v>4</v>
      </c>
      <c r="B16" s="76" t="s">
        <v>97</v>
      </c>
      <c r="C16" s="71" t="s">
        <v>43</v>
      </c>
      <c r="D16" s="77">
        <v>50</v>
      </c>
      <c r="E16" s="78" t="s">
        <v>92</v>
      </c>
      <c r="F16" s="79">
        <v>998.8496</v>
      </c>
      <c r="G16" s="57">
        <v>119.27</v>
      </c>
      <c r="H16" s="47"/>
      <c r="I16" s="46" t="s">
        <v>39</v>
      </c>
      <c r="J16" s="48">
        <f>IF(I16="Less(-)",-1,1)</f>
        <v>1</v>
      </c>
      <c r="K16" s="49" t="s">
        <v>64</v>
      </c>
      <c r="L16" s="49" t="s">
        <v>7</v>
      </c>
      <c r="M16" s="58"/>
      <c r="N16" s="57"/>
      <c r="O16" s="57"/>
      <c r="P16" s="59"/>
      <c r="Q16" s="57"/>
      <c r="R16" s="57"/>
      <c r="S16" s="59"/>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60">
        <f>total_amount_ba($B$2,$D$2,D16,F16,J16,K16,M16)</f>
        <v>49942.48</v>
      </c>
      <c r="BB16" s="61">
        <f>BA16+SUM(N16:AZ16)</f>
        <v>49942.48</v>
      </c>
      <c r="BC16" s="56" t="str">
        <f>SpellNumber(L16,BB16)</f>
        <v>INR  Forty Nine Thousand Nine Hundred &amp; Forty Two  and Paise Forty Eight Only</v>
      </c>
      <c r="BD16" s="70">
        <v>192.38</v>
      </c>
      <c r="BE16" s="72">
        <f t="shared" si="0"/>
        <v>217.62</v>
      </c>
      <c r="BF16" s="72">
        <f t="shared" si="1"/>
        <v>9619</v>
      </c>
      <c r="BG16" s="72"/>
      <c r="BH16" s="73"/>
      <c r="BI16" s="73">
        <v>30874.1</v>
      </c>
      <c r="BK16" s="15">
        <f t="shared" si="2"/>
        <v>1129.9</v>
      </c>
      <c r="BL16" s="15">
        <f t="shared" si="3"/>
        <v>1297.53</v>
      </c>
      <c r="BM16" s="15">
        <f t="shared" si="4"/>
        <v>1129.9</v>
      </c>
      <c r="BN16" s="72">
        <f t="shared" si="5"/>
        <v>998.85</v>
      </c>
      <c r="BO16" s="15">
        <f t="shared" si="6"/>
        <v>1129.9</v>
      </c>
      <c r="BP16" s="79">
        <v>883</v>
      </c>
      <c r="BQ16" s="15">
        <f t="shared" si="7"/>
        <v>998.8496</v>
      </c>
      <c r="HR16" s="16">
        <v>2</v>
      </c>
      <c r="HS16" s="16" t="s">
        <v>35</v>
      </c>
      <c r="HT16" s="16" t="s">
        <v>44</v>
      </c>
      <c r="HU16" s="16">
        <v>10</v>
      </c>
      <c r="HV16" s="16" t="s">
        <v>38</v>
      </c>
    </row>
    <row r="17" spans="1:230" s="15" customFormat="1" ht="176.25" customHeight="1">
      <c r="A17" s="64">
        <v>5</v>
      </c>
      <c r="B17" s="76" t="s">
        <v>98</v>
      </c>
      <c r="C17" s="71" t="s">
        <v>45</v>
      </c>
      <c r="D17" s="77">
        <v>50</v>
      </c>
      <c r="E17" s="78" t="s">
        <v>92</v>
      </c>
      <c r="F17" s="79">
        <v>1193.416</v>
      </c>
      <c r="G17" s="57">
        <v>77.54</v>
      </c>
      <c r="H17" s="47"/>
      <c r="I17" s="46" t="s">
        <v>39</v>
      </c>
      <c r="J17" s="48">
        <f>IF(I17="Less(-)",-1,1)</f>
        <v>1</v>
      </c>
      <c r="K17" s="49" t="s">
        <v>64</v>
      </c>
      <c r="L17" s="49" t="s">
        <v>7</v>
      </c>
      <c r="M17" s="58"/>
      <c r="N17" s="57"/>
      <c r="O17" s="57"/>
      <c r="P17" s="59"/>
      <c r="Q17" s="57"/>
      <c r="R17" s="57"/>
      <c r="S17" s="59"/>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60">
        <f>total_amount_ba($B$2,$D$2,D17,F17,J17,K17,M17)</f>
        <v>59670.8</v>
      </c>
      <c r="BB17" s="61">
        <f>BA17+SUM(N17:AZ17)</f>
        <v>59670.8</v>
      </c>
      <c r="BC17" s="56" t="str">
        <f>SpellNumber(L17,BB17)</f>
        <v>INR  Fifty Nine Thousand Six Hundred &amp; Seventy  and Paise Eighty Only</v>
      </c>
      <c r="BD17" s="70">
        <v>148</v>
      </c>
      <c r="BE17" s="72">
        <f t="shared" si="0"/>
        <v>167.42</v>
      </c>
      <c r="BF17" s="72">
        <f t="shared" si="1"/>
        <v>7400</v>
      </c>
      <c r="BG17" s="72"/>
      <c r="BK17" s="15">
        <f t="shared" si="2"/>
        <v>1349.99</v>
      </c>
      <c r="BL17" s="15">
        <f t="shared" si="3"/>
        <v>1129.9</v>
      </c>
      <c r="BM17" s="15">
        <f t="shared" si="4"/>
        <v>1349.99</v>
      </c>
      <c r="BN17" s="72">
        <f t="shared" si="5"/>
        <v>1193.42</v>
      </c>
      <c r="BO17" s="15">
        <f t="shared" si="6"/>
        <v>1350</v>
      </c>
      <c r="BP17" s="79">
        <v>1055</v>
      </c>
      <c r="BQ17" s="15">
        <f t="shared" si="7"/>
        <v>1193.416</v>
      </c>
      <c r="HR17" s="16">
        <v>2</v>
      </c>
      <c r="HS17" s="16" t="s">
        <v>35</v>
      </c>
      <c r="HT17" s="16" t="s">
        <v>44</v>
      </c>
      <c r="HU17" s="16">
        <v>10</v>
      </c>
      <c r="HV17" s="16" t="s">
        <v>38</v>
      </c>
    </row>
    <row r="18" spans="1:230" s="15" customFormat="1" ht="178.5" customHeight="1">
      <c r="A18" s="64">
        <v>6</v>
      </c>
      <c r="B18" s="76" t="s">
        <v>99</v>
      </c>
      <c r="C18" s="71" t="s">
        <v>48</v>
      </c>
      <c r="D18" s="77">
        <v>70</v>
      </c>
      <c r="E18" s="78" t="s">
        <v>92</v>
      </c>
      <c r="F18" s="79">
        <v>1234.1392</v>
      </c>
      <c r="G18" s="57">
        <v>327</v>
      </c>
      <c r="H18" s="47"/>
      <c r="I18" s="46" t="s">
        <v>39</v>
      </c>
      <c r="J18" s="48">
        <f>IF(I18="Less(-)",-1,1)</f>
        <v>1</v>
      </c>
      <c r="K18" s="49" t="s">
        <v>64</v>
      </c>
      <c r="L18" s="49" t="s">
        <v>7</v>
      </c>
      <c r="M18" s="58"/>
      <c r="N18" s="57"/>
      <c r="O18" s="57"/>
      <c r="P18" s="59"/>
      <c r="Q18" s="57"/>
      <c r="R18" s="57"/>
      <c r="S18" s="59"/>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60">
        <f>total_amount_ba($B$2,$D$2,D18,F18,J18,K18,M18)</f>
        <v>86389.74</v>
      </c>
      <c r="BB18" s="61">
        <f>BA18+SUM(N18:AZ18)</f>
        <v>86389.74</v>
      </c>
      <c r="BC18" s="56" t="str">
        <f>SpellNumber(L18,BB18)</f>
        <v>INR  Eighty Six Thousand Three Hundred &amp; Eighty Nine  and Paise Seventy Four Only</v>
      </c>
      <c r="BD18" s="70">
        <v>228</v>
      </c>
      <c r="BE18" s="72">
        <f t="shared" si="0"/>
        <v>257.91</v>
      </c>
      <c r="BF18" s="72">
        <f t="shared" si="1"/>
        <v>15960</v>
      </c>
      <c r="BG18" s="72"/>
      <c r="BK18" s="15">
        <f t="shared" si="2"/>
        <v>1396.06</v>
      </c>
      <c r="BL18" s="15">
        <f t="shared" si="3"/>
        <v>1349.99</v>
      </c>
      <c r="BM18" s="15">
        <f t="shared" si="4"/>
        <v>1396.06</v>
      </c>
      <c r="BN18" s="72">
        <f t="shared" si="5"/>
        <v>1234.14</v>
      </c>
      <c r="BO18" s="15">
        <f t="shared" si="6"/>
        <v>1396.06</v>
      </c>
      <c r="BP18" s="79">
        <v>1091</v>
      </c>
      <c r="BQ18" s="15">
        <f t="shared" si="7"/>
        <v>1234.1392</v>
      </c>
      <c r="HR18" s="16">
        <v>2</v>
      </c>
      <c r="HS18" s="16" t="s">
        <v>35</v>
      </c>
      <c r="HT18" s="16" t="s">
        <v>44</v>
      </c>
      <c r="HU18" s="16">
        <v>10</v>
      </c>
      <c r="HV18" s="16" t="s">
        <v>38</v>
      </c>
    </row>
    <row r="19" spans="1:230" s="15" customFormat="1" ht="252" customHeight="1">
      <c r="A19" s="64">
        <v>7</v>
      </c>
      <c r="B19" s="76" t="s">
        <v>134</v>
      </c>
      <c r="C19" s="71" t="s">
        <v>49</v>
      </c>
      <c r="D19" s="77">
        <v>50</v>
      </c>
      <c r="E19" s="78" t="s">
        <v>92</v>
      </c>
      <c r="F19" s="79">
        <v>3057.6336</v>
      </c>
      <c r="G19" s="57">
        <v>10</v>
      </c>
      <c r="H19" s="47"/>
      <c r="I19" s="46" t="s">
        <v>39</v>
      </c>
      <c r="J19" s="48">
        <f aca="true" t="shared" si="8" ref="J19:J47">IF(I19="Less(-)",-1,1)</f>
        <v>1</v>
      </c>
      <c r="K19" s="49" t="s">
        <v>64</v>
      </c>
      <c r="L19" s="49" t="s">
        <v>7</v>
      </c>
      <c r="M19" s="58"/>
      <c r="N19" s="57"/>
      <c r="O19" s="57"/>
      <c r="P19" s="59"/>
      <c r="Q19" s="57"/>
      <c r="R19" s="57"/>
      <c r="S19" s="59"/>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60">
        <f aca="true" t="shared" si="9" ref="BA19:BA47">total_amount_ba($B$2,$D$2,D19,F19,J19,K19,M19)</f>
        <v>152881.68</v>
      </c>
      <c r="BB19" s="61">
        <f aca="true" t="shared" si="10" ref="BB19:BB47">BA19+SUM(N19:AZ19)</f>
        <v>152881.68</v>
      </c>
      <c r="BC19" s="56" t="str">
        <f aca="true" t="shared" si="11" ref="BC19:BC47">SpellNumber(L19,BB19)</f>
        <v>INR  One Lakh Fifty Two Thousand Eight Hundred &amp; Eighty One  and Paise Sixty Eight Only</v>
      </c>
      <c r="BD19" s="70">
        <v>148</v>
      </c>
      <c r="BE19" s="72">
        <f t="shared" si="0"/>
        <v>167.42</v>
      </c>
      <c r="BF19" s="72">
        <f t="shared" si="1"/>
        <v>7400</v>
      </c>
      <c r="BG19" s="72"/>
      <c r="BK19" s="15">
        <f t="shared" si="2"/>
        <v>3458.8</v>
      </c>
      <c r="BL19" s="15">
        <f t="shared" si="3"/>
        <v>1396.06</v>
      </c>
      <c r="BM19" s="15">
        <f t="shared" si="4"/>
        <v>3458.8</v>
      </c>
      <c r="BN19" s="72">
        <f t="shared" si="5"/>
        <v>3057.63</v>
      </c>
      <c r="BO19" s="15">
        <f t="shared" si="6"/>
        <v>3458.79</v>
      </c>
      <c r="BP19" s="79">
        <v>2703</v>
      </c>
      <c r="BQ19" s="15">
        <f t="shared" si="7"/>
        <v>3057.6336</v>
      </c>
      <c r="HR19" s="16">
        <v>3</v>
      </c>
      <c r="HS19" s="16" t="s">
        <v>46</v>
      </c>
      <c r="HT19" s="16" t="s">
        <v>47</v>
      </c>
      <c r="HU19" s="16">
        <v>10</v>
      </c>
      <c r="HV19" s="16" t="s">
        <v>38</v>
      </c>
    </row>
    <row r="20" spans="1:230" s="15" customFormat="1" ht="255" customHeight="1">
      <c r="A20" s="64">
        <v>8</v>
      </c>
      <c r="B20" s="80" t="s">
        <v>120</v>
      </c>
      <c r="C20" s="71" t="s">
        <v>50</v>
      </c>
      <c r="D20" s="77">
        <v>140</v>
      </c>
      <c r="E20" s="78" t="s">
        <v>92</v>
      </c>
      <c r="F20" s="79">
        <v>1282.7808</v>
      </c>
      <c r="G20" s="57">
        <v>11</v>
      </c>
      <c r="H20" s="47"/>
      <c r="I20" s="46" t="s">
        <v>39</v>
      </c>
      <c r="J20" s="48">
        <f>IF(I20="Less(-)",-1,1)</f>
        <v>1</v>
      </c>
      <c r="K20" s="49" t="s">
        <v>64</v>
      </c>
      <c r="L20" s="49" t="s">
        <v>7</v>
      </c>
      <c r="M20" s="58"/>
      <c r="N20" s="57"/>
      <c r="O20" s="57"/>
      <c r="P20" s="59"/>
      <c r="Q20" s="57"/>
      <c r="R20" s="57"/>
      <c r="S20" s="59"/>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60">
        <f>total_amount_ba($B$2,$D$2,D20,F20,J20,K20,M20)</f>
        <v>179589.31</v>
      </c>
      <c r="BB20" s="61">
        <f>BA20+SUM(N20:AZ20)</f>
        <v>179589.31</v>
      </c>
      <c r="BC20" s="56" t="str">
        <f>SpellNumber(L20,BB20)</f>
        <v>INR  One Lakh Seventy Nine Thousand Five Hundred &amp; Eighty Nine  and Paise Thirty One Only</v>
      </c>
      <c r="BD20" s="70">
        <v>93</v>
      </c>
      <c r="BE20" s="72">
        <f t="shared" si="0"/>
        <v>105.2</v>
      </c>
      <c r="BF20" s="72">
        <f t="shared" si="1"/>
        <v>13020</v>
      </c>
      <c r="BG20" s="72"/>
      <c r="BK20" s="15">
        <f t="shared" si="2"/>
        <v>1451.08</v>
      </c>
      <c r="BL20" s="15">
        <f t="shared" si="3"/>
        <v>3458.8</v>
      </c>
      <c r="BM20" s="15">
        <f t="shared" si="4"/>
        <v>1451.08</v>
      </c>
      <c r="BN20" s="72">
        <f t="shared" si="5"/>
        <v>1282.78</v>
      </c>
      <c r="BO20" s="15">
        <f t="shared" si="6"/>
        <v>1451.08</v>
      </c>
      <c r="BP20" s="79">
        <v>1134</v>
      </c>
      <c r="BQ20" s="15">
        <f t="shared" si="7"/>
        <v>1282.7808</v>
      </c>
      <c r="HR20" s="16">
        <v>3</v>
      </c>
      <c r="HS20" s="16" t="s">
        <v>46</v>
      </c>
      <c r="HT20" s="16" t="s">
        <v>47</v>
      </c>
      <c r="HU20" s="16">
        <v>10</v>
      </c>
      <c r="HV20" s="16" t="s">
        <v>38</v>
      </c>
    </row>
    <row r="21" spans="1:230" s="15" customFormat="1" ht="48.75" customHeight="1">
      <c r="A21" s="64">
        <v>9</v>
      </c>
      <c r="B21" s="76" t="s">
        <v>100</v>
      </c>
      <c r="C21" s="71" t="s">
        <v>51</v>
      </c>
      <c r="D21" s="77">
        <v>30</v>
      </c>
      <c r="E21" s="78" t="s">
        <v>92</v>
      </c>
      <c r="F21" s="79">
        <v>1492.0528</v>
      </c>
      <c r="G21" s="57">
        <v>447</v>
      </c>
      <c r="H21" s="47"/>
      <c r="I21" s="46" t="s">
        <v>39</v>
      </c>
      <c r="J21" s="48">
        <f t="shared" si="8"/>
        <v>1</v>
      </c>
      <c r="K21" s="49" t="s">
        <v>64</v>
      </c>
      <c r="L21" s="49" t="s">
        <v>7</v>
      </c>
      <c r="M21" s="58"/>
      <c r="N21" s="57"/>
      <c r="O21" s="57"/>
      <c r="P21" s="59"/>
      <c r="Q21" s="57"/>
      <c r="R21" s="57"/>
      <c r="S21" s="59"/>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60">
        <f t="shared" si="9"/>
        <v>44761.58</v>
      </c>
      <c r="BB21" s="61">
        <f t="shared" si="10"/>
        <v>44761.58</v>
      </c>
      <c r="BC21" s="56" t="str">
        <f t="shared" si="11"/>
        <v>INR  Forty Four Thousand Seven Hundred &amp; Sixty One  and Paise Fifty Eight Only</v>
      </c>
      <c r="BD21" s="70">
        <v>77.54</v>
      </c>
      <c r="BE21" s="72">
        <f t="shared" si="0"/>
        <v>87.71</v>
      </c>
      <c r="BF21" s="72">
        <f t="shared" si="1"/>
        <v>2326.2</v>
      </c>
      <c r="BG21" s="72"/>
      <c r="BK21" s="15">
        <f t="shared" si="2"/>
        <v>1687.81</v>
      </c>
      <c r="BL21" s="15">
        <f t="shared" si="3"/>
        <v>1451.08</v>
      </c>
      <c r="BM21" s="15">
        <f t="shared" si="4"/>
        <v>1687.81</v>
      </c>
      <c r="BN21" s="72">
        <f t="shared" si="5"/>
        <v>1492.05</v>
      </c>
      <c r="BO21" s="15">
        <f t="shared" si="6"/>
        <v>1687.81</v>
      </c>
      <c r="BP21" s="79">
        <v>1319</v>
      </c>
      <c r="BQ21" s="15">
        <f t="shared" si="7"/>
        <v>1492.0528</v>
      </c>
      <c r="HR21" s="16">
        <v>1.01</v>
      </c>
      <c r="HS21" s="16" t="s">
        <v>40</v>
      </c>
      <c r="HT21" s="16" t="s">
        <v>36</v>
      </c>
      <c r="HU21" s="16">
        <v>123.223</v>
      </c>
      <c r="HV21" s="16" t="s">
        <v>38</v>
      </c>
    </row>
    <row r="22" spans="1:230" s="15" customFormat="1" ht="237" customHeight="1">
      <c r="A22" s="64">
        <v>10</v>
      </c>
      <c r="B22" s="80" t="s">
        <v>101</v>
      </c>
      <c r="C22" s="71" t="s">
        <v>52</v>
      </c>
      <c r="D22" s="77">
        <v>1</v>
      </c>
      <c r="E22" s="78" t="s">
        <v>93</v>
      </c>
      <c r="F22" s="79">
        <v>31517.4944</v>
      </c>
      <c r="G22" s="57">
        <v>497</v>
      </c>
      <c r="H22" s="47"/>
      <c r="I22" s="46" t="s">
        <v>39</v>
      </c>
      <c r="J22" s="48">
        <f t="shared" si="8"/>
        <v>1</v>
      </c>
      <c r="K22" s="49" t="s">
        <v>64</v>
      </c>
      <c r="L22" s="49" t="s">
        <v>7</v>
      </c>
      <c r="M22" s="58"/>
      <c r="N22" s="57"/>
      <c r="O22" s="57"/>
      <c r="P22" s="59"/>
      <c r="Q22" s="57"/>
      <c r="R22" s="57"/>
      <c r="S22" s="59"/>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60">
        <f t="shared" si="9"/>
        <v>31517.49</v>
      </c>
      <c r="BB22" s="61">
        <f t="shared" si="10"/>
        <v>31517.49</v>
      </c>
      <c r="BC22" s="56" t="str">
        <f t="shared" si="11"/>
        <v>INR  Thirty One Thousand Five Hundred &amp; Seventeen  and Paise Forty Nine Only</v>
      </c>
      <c r="BD22" s="70">
        <v>172.18</v>
      </c>
      <c r="BE22" s="72">
        <f t="shared" si="0"/>
        <v>194.77</v>
      </c>
      <c r="BF22" s="72">
        <f t="shared" si="1"/>
        <v>172.18</v>
      </c>
      <c r="BG22" s="72"/>
      <c r="BK22" s="15">
        <f t="shared" si="2"/>
        <v>35652.59</v>
      </c>
      <c r="BL22" s="15">
        <f t="shared" si="3"/>
        <v>1687.81</v>
      </c>
      <c r="BM22" s="15">
        <f t="shared" si="4"/>
        <v>35652.59</v>
      </c>
      <c r="BN22" s="72">
        <f t="shared" si="5"/>
        <v>31517.49</v>
      </c>
      <c r="BO22" s="15">
        <f t="shared" si="6"/>
        <v>35652.58</v>
      </c>
      <c r="BP22" s="79">
        <v>27862</v>
      </c>
      <c r="BQ22" s="15">
        <f t="shared" si="7"/>
        <v>31517.4944</v>
      </c>
      <c r="HR22" s="16">
        <v>1.02</v>
      </c>
      <c r="HS22" s="16" t="s">
        <v>41</v>
      </c>
      <c r="HT22" s="16" t="s">
        <v>42</v>
      </c>
      <c r="HU22" s="16">
        <v>213</v>
      </c>
      <c r="HV22" s="16" t="s">
        <v>38</v>
      </c>
    </row>
    <row r="23" spans="1:230" s="15" customFormat="1" ht="86.25" customHeight="1">
      <c r="A23" s="64">
        <v>11</v>
      </c>
      <c r="B23" s="80" t="s">
        <v>102</v>
      </c>
      <c r="C23" s="71" t="s">
        <v>53</v>
      </c>
      <c r="D23" s="77">
        <v>1</v>
      </c>
      <c r="E23" s="78" t="s">
        <v>116</v>
      </c>
      <c r="F23" s="79">
        <v>1036.1792</v>
      </c>
      <c r="G23" s="57">
        <v>1956</v>
      </c>
      <c r="H23" s="47"/>
      <c r="I23" s="46" t="s">
        <v>39</v>
      </c>
      <c r="J23" s="48">
        <f>IF(I23="Less(-)",-1,1)</f>
        <v>1</v>
      </c>
      <c r="K23" s="49" t="s">
        <v>64</v>
      </c>
      <c r="L23" s="49" t="s">
        <v>7</v>
      </c>
      <c r="M23" s="58"/>
      <c r="N23" s="57"/>
      <c r="O23" s="57"/>
      <c r="P23" s="59"/>
      <c r="Q23" s="57"/>
      <c r="R23" s="57"/>
      <c r="S23" s="59"/>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60">
        <f t="shared" si="9"/>
        <v>1036.18</v>
      </c>
      <c r="BB23" s="61">
        <f>BA23+SUM(N23:AZ23)</f>
        <v>1036.18</v>
      </c>
      <c r="BC23" s="56" t="str">
        <f>SpellNumber(L23,BB23)</f>
        <v>INR  One Thousand  &amp;Thirty Six  and Paise Eighteen Only</v>
      </c>
      <c r="BD23" s="70">
        <v>266</v>
      </c>
      <c r="BE23" s="72">
        <f t="shared" si="0"/>
        <v>300.9</v>
      </c>
      <c r="BF23" s="72">
        <f t="shared" si="1"/>
        <v>266</v>
      </c>
      <c r="BG23" s="72"/>
      <c r="BK23" s="15">
        <f t="shared" si="2"/>
        <v>1172.13</v>
      </c>
      <c r="BL23" s="15">
        <f t="shared" si="3"/>
        <v>35652.59</v>
      </c>
      <c r="BM23" s="15">
        <f t="shared" si="4"/>
        <v>1172.13</v>
      </c>
      <c r="BN23" s="72">
        <f t="shared" si="5"/>
        <v>1036.18</v>
      </c>
      <c r="BO23" s="15">
        <f t="shared" si="6"/>
        <v>1172.13</v>
      </c>
      <c r="BP23" s="79">
        <v>916</v>
      </c>
      <c r="BQ23" s="15">
        <f t="shared" si="7"/>
        <v>1036.1792</v>
      </c>
      <c r="HR23" s="16">
        <v>3</v>
      </c>
      <c r="HS23" s="16" t="s">
        <v>46</v>
      </c>
      <c r="HT23" s="16" t="s">
        <v>47</v>
      </c>
      <c r="HU23" s="16">
        <v>10</v>
      </c>
      <c r="HV23" s="16" t="s">
        <v>38</v>
      </c>
    </row>
    <row r="24" spans="1:230" s="15" customFormat="1" ht="103.5" customHeight="1">
      <c r="A24" s="64">
        <v>12</v>
      </c>
      <c r="B24" s="80" t="s">
        <v>103</v>
      </c>
      <c r="C24" s="71" t="s">
        <v>54</v>
      </c>
      <c r="D24" s="77">
        <v>1</v>
      </c>
      <c r="E24" s="78" t="s">
        <v>116</v>
      </c>
      <c r="F24" s="79">
        <v>1392.5072</v>
      </c>
      <c r="G24" s="57">
        <v>2006</v>
      </c>
      <c r="H24" s="47"/>
      <c r="I24" s="46" t="s">
        <v>39</v>
      </c>
      <c r="J24" s="48">
        <f>IF(I24="Less(-)",-1,1)</f>
        <v>1</v>
      </c>
      <c r="K24" s="49" t="s">
        <v>64</v>
      </c>
      <c r="L24" s="49" t="s">
        <v>7</v>
      </c>
      <c r="M24" s="58"/>
      <c r="N24" s="57"/>
      <c r="O24" s="57"/>
      <c r="P24" s="59"/>
      <c r="Q24" s="57"/>
      <c r="R24" s="57"/>
      <c r="S24" s="59"/>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60">
        <f t="shared" si="9"/>
        <v>1392.51</v>
      </c>
      <c r="BB24" s="61">
        <f>BA24+SUM(N24:AZ24)</f>
        <v>1392.51</v>
      </c>
      <c r="BC24" s="56" t="str">
        <f>SpellNumber(L24,BB24)</f>
        <v>INR  One Thousand Three Hundred &amp; Ninety Two  and Paise Fifty One Only</v>
      </c>
      <c r="BD24" s="70">
        <v>4737.22</v>
      </c>
      <c r="BE24" s="72">
        <f t="shared" si="0"/>
        <v>5358.74</v>
      </c>
      <c r="BF24" s="72">
        <f t="shared" si="1"/>
        <v>4737.22</v>
      </c>
      <c r="BG24" s="72"/>
      <c r="BK24" s="15">
        <f t="shared" si="2"/>
        <v>1575.2</v>
      </c>
      <c r="BL24" s="15">
        <f t="shared" si="3"/>
        <v>1172.13</v>
      </c>
      <c r="BM24" s="15">
        <f t="shared" si="4"/>
        <v>1575.2</v>
      </c>
      <c r="BN24" s="72">
        <f t="shared" si="5"/>
        <v>1392.51</v>
      </c>
      <c r="BO24" s="15">
        <f t="shared" si="6"/>
        <v>1575.21</v>
      </c>
      <c r="BP24" s="79">
        <v>1231</v>
      </c>
      <c r="BQ24" s="15">
        <f t="shared" si="7"/>
        <v>1392.5072</v>
      </c>
      <c r="HR24" s="16">
        <v>1.01</v>
      </c>
      <c r="HS24" s="16" t="s">
        <v>40</v>
      </c>
      <c r="HT24" s="16" t="s">
        <v>36</v>
      </c>
      <c r="HU24" s="16">
        <v>123.223</v>
      </c>
      <c r="HV24" s="16" t="s">
        <v>38</v>
      </c>
    </row>
    <row r="25" spans="1:230" s="15" customFormat="1" ht="160.5" customHeight="1">
      <c r="A25" s="64">
        <v>13</v>
      </c>
      <c r="B25" s="80" t="s">
        <v>104</v>
      </c>
      <c r="C25" s="71" t="s">
        <v>55</v>
      </c>
      <c r="D25" s="77">
        <v>11</v>
      </c>
      <c r="E25" s="78" t="s">
        <v>117</v>
      </c>
      <c r="F25" s="79">
        <v>2295.2048</v>
      </c>
      <c r="G25" s="57">
        <v>889</v>
      </c>
      <c r="H25" s="47"/>
      <c r="I25" s="46" t="s">
        <v>39</v>
      </c>
      <c r="J25" s="48">
        <f t="shared" si="8"/>
        <v>1</v>
      </c>
      <c r="K25" s="49" t="s">
        <v>64</v>
      </c>
      <c r="L25" s="49" t="s">
        <v>7</v>
      </c>
      <c r="M25" s="58"/>
      <c r="N25" s="57"/>
      <c r="O25" s="57"/>
      <c r="P25" s="59"/>
      <c r="Q25" s="57"/>
      <c r="R25" s="57"/>
      <c r="S25" s="59"/>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60">
        <f t="shared" si="9"/>
        <v>25247.25</v>
      </c>
      <c r="BB25" s="61">
        <f t="shared" si="10"/>
        <v>25247.25</v>
      </c>
      <c r="BC25" s="56" t="str">
        <f t="shared" si="11"/>
        <v>INR  Twenty Five Thousand Two Hundred &amp; Forty Seven  and Paise Twenty Five Only</v>
      </c>
      <c r="BD25" s="70">
        <v>5857</v>
      </c>
      <c r="BE25" s="72">
        <f t="shared" si="0"/>
        <v>6625.44</v>
      </c>
      <c r="BF25" s="72">
        <f t="shared" si="1"/>
        <v>64427</v>
      </c>
      <c r="BG25" s="72"/>
      <c r="BK25" s="15">
        <f t="shared" si="2"/>
        <v>2596.34</v>
      </c>
      <c r="BL25" s="15">
        <f t="shared" si="3"/>
        <v>1575.2</v>
      </c>
      <c r="BM25" s="15">
        <f t="shared" si="4"/>
        <v>2596.34</v>
      </c>
      <c r="BN25" s="72">
        <f t="shared" si="5"/>
        <v>2295.2</v>
      </c>
      <c r="BO25" s="15">
        <f t="shared" si="6"/>
        <v>2596.33</v>
      </c>
      <c r="BP25" s="79">
        <v>2029</v>
      </c>
      <c r="BQ25" s="15">
        <f t="shared" si="7"/>
        <v>2295.2048</v>
      </c>
      <c r="HR25" s="16"/>
      <c r="HS25" s="16"/>
      <c r="HT25" s="16"/>
      <c r="HU25" s="16"/>
      <c r="HV25" s="16"/>
    </row>
    <row r="26" spans="1:230" s="15" customFormat="1" ht="83.25" customHeight="1">
      <c r="A26" s="64">
        <v>14</v>
      </c>
      <c r="B26" s="80" t="s">
        <v>105</v>
      </c>
      <c r="C26" s="71" t="s">
        <v>56</v>
      </c>
      <c r="D26" s="77">
        <v>2</v>
      </c>
      <c r="E26" s="78" t="s">
        <v>117</v>
      </c>
      <c r="F26" s="79">
        <v>471.7104</v>
      </c>
      <c r="G26" s="57">
        <v>19</v>
      </c>
      <c r="H26" s="47"/>
      <c r="I26" s="46" t="s">
        <v>39</v>
      </c>
      <c r="J26" s="48">
        <f t="shared" si="8"/>
        <v>1</v>
      </c>
      <c r="K26" s="49" t="s">
        <v>64</v>
      </c>
      <c r="L26" s="49" t="s">
        <v>7</v>
      </c>
      <c r="M26" s="58"/>
      <c r="N26" s="57"/>
      <c r="O26" s="57"/>
      <c r="P26" s="59"/>
      <c r="Q26" s="57"/>
      <c r="R26" s="57"/>
      <c r="S26" s="59"/>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60">
        <f t="shared" si="9"/>
        <v>943.42</v>
      </c>
      <c r="BB26" s="61">
        <f t="shared" si="10"/>
        <v>943.42</v>
      </c>
      <c r="BC26" s="56" t="str">
        <f t="shared" si="11"/>
        <v>INR  Nine Hundred &amp; Forty Three  and Paise Forty Two Only</v>
      </c>
      <c r="BD26" s="70">
        <v>5952</v>
      </c>
      <c r="BE26" s="72">
        <f t="shared" si="0"/>
        <v>6732.9</v>
      </c>
      <c r="BF26" s="72">
        <f t="shared" si="1"/>
        <v>11904</v>
      </c>
      <c r="BG26" s="72"/>
      <c r="BK26" s="15">
        <f t="shared" si="2"/>
        <v>533.6</v>
      </c>
      <c r="BL26" s="15">
        <f t="shared" si="3"/>
        <v>2596.34</v>
      </c>
      <c r="BM26" s="15">
        <f t="shared" si="4"/>
        <v>533.6</v>
      </c>
      <c r="BN26" s="72">
        <f t="shared" si="5"/>
        <v>471.71</v>
      </c>
      <c r="BO26" s="15">
        <f t="shared" si="6"/>
        <v>533.6</v>
      </c>
      <c r="BP26" s="79">
        <v>417</v>
      </c>
      <c r="BQ26" s="15">
        <f t="shared" si="7"/>
        <v>471.7104</v>
      </c>
      <c r="HR26" s="16"/>
      <c r="HS26" s="16"/>
      <c r="HT26" s="16"/>
      <c r="HU26" s="16"/>
      <c r="HV26" s="16"/>
    </row>
    <row r="27" spans="1:230" s="15" customFormat="1" ht="63" customHeight="1">
      <c r="A27" s="64">
        <v>15</v>
      </c>
      <c r="B27" s="80" t="s">
        <v>121</v>
      </c>
      <c r="C27" s="71" t="s">
        <v>57</v>
      </c>
      <c r="D27" s="77">
        <v>1</v>
      </c>
      <c r="E27" s="78" t="s">
        <v>93</v>
      </c>
      <c r="F27" s="79">
        <v>978.488</v>
      </c>
      <c r="G27" s="57">
        <v>50</v>
      </c>
      <c r="H27" s="47"/>
      <c r="I27" s="46" t="s">
        <v>39</v>
      </c>
      <c r="J27" s="48">
        <f>IF(I27="Less(-)",-1,1)</f>
        <v>1</v>
      </c>
      <c r="K27" s="49" t="s">
        <v>64</v>
      </c>
      <c r="L27" s="49" t="s">
        <v>7</v>
      </c>
      <c r="M27" s="58"/>
      <c r="N27" s="57"/>
      <c r="O27" s="57"/>
      <c r="P27" s="59"/>
      <c r="Q27" s="57"/>
      <c r="R27" s="57"/>
      <c r="S27" s="59"/>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60">
        <f>total_amount_ba($B$2,$D$2,D27,F27,J27,K27,M27)</f>
        <v>978.49</v>
      </c>
      <c r="BB27" s="61">
        <f>BA27+SUM(N27:AZ27)</f>
        <v>978.49</v>
      </c>
      <c r="BC27" s="56" t="str">
        <f>SpellNumber(L27,BB27)</f>
        <v>INR  Nine Hundred &amp; Seventy Eight  and Paise Forty Nine Only</v>
      </c>
      <c r="BD27" s="70">
        <v>6047</v>
      </c>
      <c r="BE27" s="72">
        <f t="shared" si="0"/>
        <v>6840.37</v>
      </c>
      <c r="BF27" s="72">
        <f t="shared" si="1"/>
        <v>6047</v>
      </c>
      <c r="BG27" s="72"/>
      <c r="BK27" s="15">
        <f t="shared" si="2"/>
        <v>1106.87</v>
      </c>
      <c r="BL27" s="15">
        <f t="shared" si="3"/>
        <v>533.6</v>
      </c>
      <c r="BM27" s="15">
        <f t="shared" si="4"/>
        <v>1106.87</v>
      </c>
      <c r="BN27" s="72">
        <f t="shared" si="5"/>
        <v>978.49</v>
      </c>
      <c r="BO27" s="15">
        <f t="shared" si="6"/>
        <v>1106.87</v>
      </c>
      <c r="BP27" s="79">
        <v>865</v>
      </c>
      <c r="BQ27" s="15">
        <f t="shared" si="7"/>
        <v>978.488</v>
      </c>
      <c r="HR27" s="16"/>
      <c r="HS27" s="16"/>
      <c r="HT27" s="16"/>
      <c r="HU27" s="16"/>
      <c r="HV27" s="16"/>
    </row>
    <row r="28" spans="1:230" s="15" customFormat="1" ht="104.25" customHeight="1">
      <c r="A28" s="64">
        <v>16</v>
      </c>
      <c r="B28" s="80" t="s">
        <v>122</v>
      </c>
      <c r="C28" s="71" t="s">
        <v>58</v>
      </c>
      <c r="D28" s="77">
        <v>1</v>
      </c>
      <c r="E28" s="78" t="s">
        <v>93</v>
      </c>
      <c r="F28" s="79">
        <v>824.6448</v>
      </c>
      <c r="G28" s="57">
        <v>56</v>
      </c>
      <c r="H28" s="47"/>
      <c r="I28" s="46" t="s">
        <v>39</v>
      </c>
      <c r="J28" s="48">
        <f t="shared" si="8"/>
        <v>1</v>
      </c>
      <c r="K28" s="49" t="s">
        <v>64</v>
      </c>
      <c r="L28" s="49" t="s">
        <v>7</v>
      </c>
      <c r="M28" s="58"/>
      <c r="N28" s="57"/>
      <c r="O28" s="57"/>
      <c r="P28" s="59"/>
      <c r="Q28" s="57"/>
      <c r="R28" s="57"/>
      <c r="S28" s="59"/>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60">
        <f t="shared" si="9"/>
        <v>824.64</v>
      </c>
      <c r="BB28" s="61">
        <f t="shared" si="10"/>
        <v>824.64</v>
      </c>
      <c r="BC28" s="56" t="str">
        <f t="shared" si="11"/>
        <v>INR  Eight Hundred &amp; Twenty Four  and Paise Sixty Four Only</v>
      </c>
      <c r="BD28" s="70">
        <v>6142</v>
      </c>
      <c r="BE28" s="72">
        <f t="shared" si="0"/>
        <v>6947.83</v>
      </c>
      <c r="BF28" s="72">
        <f t="shared" si="1"/>
        <v>6142</v>
      </c>
      <c r="BG28" s="72"/>
      <c r="BK28" s="15">
        <f t="shared" si="2"/>
        <v>932.84</v>
      </c>
      <c r="BL28" s="15">
        <f t="shared" si="3"/>
        <v>1106.87</v>
      </c>
      <c r="BM28" s="15">
        <f t="shared" si="4"/>
        <v>932.84</v>
      </c>
      <c r="BN28" s="72">
        <f t="shared" si="5"/>
        <v>824.64</v>
      </c>
      <c r="BO28" s="15">
        <f t="shared" si="6"/>
        <v>932.83</v>
      </c>
      <c r="BP28" s="79">
        <v>729</v>
      </c>
      <c r="BQ28" s="15">
        <f t="shared" si="7"/>
        <v>824.6448</v>
      </c>
      <c r="HR28" s="16"/>
      <c r="HS28" s="16"/>
      <c r="HT28" s="16"/>
      <c r="HU28" s="16"/>
      <c r="HV28" s="16"/>
    </row>
    <row r="29" spans="1:230" s="15" customFormat="1" ht="84.75" customHeight="1">
      <c r="A29" s="64">
        <v>17</v>
      </c>
      <c r="B29" s="80" t="s">
        <v>135</v>
      </c>
      <c r="C29" s="71" t="s">
        <v>59</v>
      </c>
      <c r="D29" s="77">
        <v>1</v>
      </c>
      <c r="E29" s="78" t="s">
        <v>93</v>
      </c>
      <c r="F29" s="79">
        <v>248.864</v>
      </c>
      <c r="G29" s="57">
        <v>166</v>
      </c>
      <c r="H29" s="47"/>
      <c r="I29" s="46" t="s">
        <v>39</v>
      </c>
      <c r="J29" s="48">
        <f t="shared" si="8"/>
        <v>1</v>
      </c>
      <c r="K29" s="49" t="s">
        <v>64</v>
      </c>
      <c r="L29" s="49" t="s">
        <v>7</v>
      </c>
      <c r="M29" s="58"/>
      <c r="N29" s="57"/>
      <c r="O29" s="57"/>
      <c r="P29" s="59"/>
      <c r="Q29" s="57"/>
      <c r="R29" s="57"/>
      <c r="S29" s="59"/>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60">
        <f t="shared" si="9"/>
        <v>248.86</v>
      </c>
      <c r="BB29" s="61">
        <f t="shared" si="10"/>
        <v>248.86</v>
      </c>
      <c r="BC29" s="56" t="str">
        <f t="shared" si="11"/>
        <v>INR  Two Hundred &amp; Forty Eight  and Paise Eighty Six Only</v>
      </c>
      <c r="BD29" s="70">
        <v>399</v>
      </c>
      <c r="BE29" s="72">
        <f t="shared" si="0"/>
        <v>451.35</v>
      </c>
      <c r="BF29" s="72">
        <f t="shared" si="1"/>
        <v>399</v>
      </c>
      <c r="BG29" s="72"/>
      <c r="BK29" s="15">
        <f t="shared" si="2"/>
        <v>281.51</v>
      </c>
      <c r="BL29" s="15">
        <f t="shared" si="3"/>
        <v>932.84</v>
      </c>
      <c r="BM29" s="15">
        <f t="shared" si="4"/>
        <v>281.51</v>
      </c>
      <c r="BN29" s="72">
        <f t="shared" si="5"/>
        <v>248.86</v>
      </c>
      <c r="BO29" s="15">
        <f t="shared" si="6"/>
        <v>281.51</v>
      </c>
      <c r="BP29" s="79">
        <v>220</v>
      </c>
      <c r="BQ29" s="15">
        <f t="shared" si="7"/>
        <v>248.864</v>
      </c>
      <c r="HR29" s="16"/>
      <c r="HS29" s="16"/>
      <c r="HT29" s="16"/>
      <c r="HU29" s="16"/>
      <c r="HV29" s="16"/>
    </row>
    <row r="30" spans="1:230" s="15" customFormat="1" ht="102.75" customHeight="1">
      <c r="A30" s="64">
        <v>18</v>
      </c>
      <c r="B30" s="80" t="s">
        <v>106</v>
      </c>
      <c r="C30" s="71" t="s">
        <v>60</v>
      </c>
      <c r="D30" s="77">
        <v>1</v>
      </c>
      <c r="E30" s="78" t="s">
        <v>94</v>
      </c>
      <c r="F30" s="79">
        <v>2528.232</v>
      </c>
      <c r="G30" s="57">
        <v>128</v>
      </c>
      <c r="H30" s="47"/>
      <c r="I30" s="46" t="s">
        <v>39</v>
      </c>
      <c r="J30" s="48">
        <f t="shared" si="8"/>
        <v>1</v>
      </c>
      <c r="K30" s="49" t="s">
        <v>64</v>
      </c>
      <c r="L30" s="49" t="s">
        <v>7</v>
      </c>
      <c r="M30" s="58"/>
      <c r="N30" s="57"/>
      <c r="O30" s="57"/>
      <c r="P30" s="59"/>
      <c r="Q30" s="57"/>
      <c r="R30" s="57"/>
      <c r="S30" s="59"/>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60">
        <f t="shared" si="9"/>
        <v>2528.23</v>
      </c>
      <c r="BB30" s="61">
        <f t="shared" si="10"/>
        <v>2528.23</v>
      </c>
      <c r="BC30" s="56" t="str">
        <f t="shared" si="11"/>
        <v>INR  Two Thousand Five Hundred &amp; Twenty Eight  and Paise Twenty Three Only</v>
      </c>
      <c r="BD30" s="70">
        <v>417</v>
      </c>
      <c r="BE30" s="72">
        <f t="shared" si="0"/>
        <v>471.71</v>
      </c>
      <c r="BF30" s="72">
        <f t="shared" si="1"/>
        <v>417</v>
      </c>
      <c r="BG30" s="72"/>
      <c r="BK30" s="15">
        <f t="shared" si="2"/>
        <v>2859.94</v>
      </c>
      <c r="BL30" s="15">
        <f t="shared" si="3"/>
        <v>281.51</v>
      </c>
      <c r="BM30" s="15">
        <f t="shared" si="4"/>
        <v>2859.94</v>
      </c>
      <c r="BN30" s="72">
        <f t="shared" si="5"/>
        <v>2528.23</v>
      </c>
      <c r="BO30" s="15">
        <f t="shared" si="6"/>
        <v>2859.93</v>
      </c>
      <c r="BP30" s="79">
        <v>2235</v>
      </c>
      <c r="BQ30" s="15">
        <f t="shared" si="7"/>
        <v>2528.232</v>
      </c>
      <c r="HR30" s="16"/>
      <c r="HS30" s="16"/>
      <c r="HT30" s="16"/>
      <c r="HU30" s="16"/>
      <c r="HV30" s="16"/>
    </row>
    <row r="31" spans="1:230" s="15" customFormat="1" ht="67.5" customHeight="1">
      <c r="A31" s="64">
        <v>19</v>
      </c>
      <c r="B31" s="80" t="s">
        <v>107</v>
      </c>
      <c r="C31" s="71" t="s">
        <v>70</v>
      </c>
      <c r="D31" s="77">
        <v>1</v>
      </c>
      <c r="E31" s="78" t="s">
        <v>93</v>
      </c>
      <c r="F31" s="79">
        <v>9329.0064</v>
      </c>
      <c r="G31" s="57">
        <v>132</v>
      </c>
      <c r="H31" s="47"/>
      <c r="I31" s="46" t="s">
        <v>39</v>
      </c>
      <c r="J31" s="48">
        <f t="shared" si="8"/>
        <v>1</v>
      </c>
      <c r="K31" s="49" t="s">
        <v>64</v>
      </c>
      <c r="L31" s="49" t="s">
        <v>7</v>
      </c>
      <c r="M31" s="58"/>
      <c r="N31" s="57"/>
      <c r="O31" s="57"/>
      <c r="P31" s="59"/>
      <c r="Q31" s="57"/>
      <c r="R31" s="57"/>
      <c r="S31" s="59"/>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60">
        <f t="shared" si="9"/>
        <v>9329.01</v>
      </c>
      <c r="BB31" s="61">
        <f t="shared" si="10"/>
        <v>9329.01</v>
      </c>
      <c r="BC31" s="56" t="str">
        <f t="shared" si="11"/>
        <v>INR  Nine Thousand Three Hundred &amp; Twenty Nine  and Paise One Only</v>
      </c>
      <c r="BD31" s="70">
        <v>435</v>
      </c>
      <c r="BE31" s="72">
        <f t="shared" si="0"/>
        <v>492.07</v>
      </c>
      <c r="BF31" s="72">
        <f t="shared" si="1"/>
        <v>435</v>
      </c>
      <c r="BG31" s="72"/>
      <c r="BK31" s="15">
        <f t="shared" si="2"/>
        <v>10552.97</v>
      </c>
      <c r="BL31" s="15">
        <f t="shared" si="3"/>
        <v>2859.94</v>
      </c>
      <c r="BM31" s="15">
        <f t="shared" si="4"/>
        <v>10552.97</v>
      </c>
      <c r="BN31" s="72">
        <f t="shared" si="5"/>
        <v>9329.01</v>
      </c>
      <c r="BO31" s="15">
        <f t="shared" si="6"/>
        <v>10552.98</v>
      </c>
      <c r="BP31" s="79">
        <v>8247</v>
      </c>
      <c r="BQ31" s="15">
        <f t="shared" si="7"/>
        <v>9329.0064</v>
      </c>
      <c r="HR31" s="16"/>
      <c r="HS31" s="16"/>
      <c r="HT31" s="16"/>
      <c r="HU31" s="16"/>
      <c r="HV31" s="16"/>
    </row>
    <row r="32" spans="1:230" s="15" customFormat="1" ht="127.5" customHeight="1">
      <c r="A32" s="64">
        <v>20</v>
      </c>
      <c r="B32" s="76" t="s">
        <v>108</v>
      </c>
      <c r="C32" s="71" t="s">
        <v>71</v>
      </c>
      <c r="D32" s="77">
        <v>1</v>
      </c>
      <c r="E32" s="78" t="s">
        <v>94</v>
      </c>
      <c r="F32" s="79">
        <v>42929.04</v>
      </c>
      <c r="G32" s="57">
        <v>163</v>
      </c>
      <c r="H32" s="47"/>
      <c r="I32" s="46" t="s">
        <v>39</v>
      </c>
      <c r="J32" s="48">
        <f t="shared" si="8"/>
        <v>1</v>
      </c>
      <c r="K32" s="49" t="s">
        <v>64</v>
      </c>
      <c r="L32" s="49" t="s">
        <v>7</v>
      </c>
      <c r="M32" s="58"/>
      <c r="N32" s="57"/>
      <c r="O32" s="57"/>
      <c r="P32" s="59"/>
      <c r="Q32" s="57"/>
      <c r="R32" s="57"/>
      <c r="S32" s="59"/>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60">
        <f t="shared" si="9"/>
        <v>42929.04</v>
      </c>
      <c r="BB32" s="61">
        <f t="shared" si="10"/>
        <v>42929.04</v>
      </c>
      <c r="BC32" s="56" t="str">
        <f t="shared" si="11"/>
        <v>INR  Forty Two Thousand Nine Hundred &amp; Twenty Nine  and Paise Four Only</v>
      </c>
      <c r="BD32" s="70">
        <v>71699</v>
      </c>
      <c r="BE32" s="72">
        <f t="shared" si="0"/>
        <v>81105.91</v>
      </c>
      <c r="BF32" s="72">
        <f t="shared" si="1"/>
        <v>71699</v>
      </c>
      <c r="BG32" s="72"/>
      <c r="BK32" s="15">
        <f t="shared" si="2"/>
        <v>48561.33</v>
      </c>
      <c r="BL32" s="15">
        <f t="shared" si="3"/>
        <v>10552.97</v>
      </c>
      <c r="BM32" s="15">
        <f t="shared" si="4"/>
        <v>48561.33</v>
      </c>
      <c r="BN32" s="72">
        <f t="shared" si="5"/>
        <v>42929.04</v>
      </c>
      <c r="BO32" s="15">
        <f t="shared" si="6"/>
        <v>48561.33</v>
      </c>
      <c r="BP32" s="79">
        <v>37950</v>
      </c>
      <c r="BQ32" s="15">
        <f t="shared" si="7"/>
        <v>42929.04</v>
      </c>
      <c r="HR32" s="16"/>
      <c r="HS32" s="16"/>
      <c r="HT32" s="16"/>
      <c r="HU32" s="16"/>
      <c r="HV32" s="16"/>
    </row>
    <row r="33" spans="1:230" s="15" customFormat="1" ht="64.5" customHeight="1">
      <c r="A33" s="64">
        <v>21</v>
      </c>
      <c r="B33" s="76" t="s">
        <v>109</v>
      </c>
      <c r="C33" s="71" t="s">
        <v>72</v>
      </c>
      <c r="D33" s="77">
        <v>1</v>
      </c>
      <c r="E33" s="78" t="s">
        <v>94</v>
      </c>
      <c r="F33" s="79">
        <v>7884.464</v>
      </c>
      <c r="G33" s="57">
        <v>167</v>
      </c>
      <c r="H33" s="47"/>
      <c r="I33" s="46" t="s">
        <v>39</v>
      </c>
      <c r="J33" s="48">
        <f t="shared" si="8"/>
        <v>1</v>
      </c>
      <c r="K33" s="49" t="s">
        <v>64</v>
      </c>
      <c r="L33" s="49" t="s">
        <v>7</v>
      </c>
      <c r="M33" s="58"/>
      <c r="N33" s="57"/>
      <c r="O33" s="57"/>
      <c r="P33" s="59"/>
      <c r="Q33" s="57"/>
      <c r="R33" s="57"/>
      <c r="S33" s="59"/>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60">
        <f t="shared" si="9"/>
        <v>7884.46</v>
      </c>
      <c r="BB33" s="61">
        <f t="shared" si="10"/>
        <v>7884.46</v>
      </c>
      <c r="BC33" s="56" t="str">
        <f t="shared" si="11"/>
        <v>INR  Seven Thousand Eight Hundred &amp; Eighty Four  and Paise Forty Six Only</v>
      </c>
      <c r="BD33" s="70">
        <v>72129</v>
      </c>
      <c r="BE33" s="72">
        <f t="shared" si="0"/>
        <v>81592.32</v>
      </c>
      <c r="BF33" s="72">
        <f t="shared" si="1"/>
        <v>72129</v>
      </c>
      <c r="BG33" s="72"/>
      <c r="BK33" s="15">
        <f t="shared" si="2"/>
        <v>8918.91</v>
      </c>
      <c r="BL33" s="15">
        <f t="shared" si="3"/>
        <v>48561.33</v>
      </c>
      <c r="BM33" s="15">
        <f t="shared" si="4"/>
        <v>8918.91</v>
      </c>
      <c r="BN33" s="72">
        <f t="shared" si="5"/>
        <v>7884.46</v>
      </c>
      <c r="BO33" s="15">
        <f t="shared" si="6"/>
        <v>8918.9</v>
      </c>
      <c r="BP33" s="79">
        <v>6970</v>
      </c>
      <c r="BQ33" s="15">
        <f t="shared" si="7"/>
        <v>7884.464</v>
      </c>
      <c r="HR33" s="16"/>
      <c r="HS33" s="16"/>
      <c r="HT33" s="16"/>
      <c r="HU33" s="16"/>
      <c r="HV33" s="16"/>
    </row>
    <row r="34" spans="1:230" s="15" customFormat="1" ht="84.75" customHeight="1">
      <c r="A34" s="64">
        <v>22</v>
      </c>
      <c r="B34" s="76" t="s">
        <v>110</v>
      </c>
      <c r="C34" s="71" t="s">
        <v>73</v>
      </c>
      <c r="D34" s="77">
        <v>160</v>
      </c>
      <c r="E34" s="78" t="s">
        <v>92</v>
      </c>
      <c r="F34" s="79">
        <v>110.8576</v>
      </c>
      <c r="G34" s="57"/>
      <c r="H34" s="47"/>
      <c r="I34" s="46" t="s">
        <v>39</v>
      </c>
      <c r="J34" s="48">
        <f t="shared" si="8"/>
        <v>1</v>
      </c>
      <c r="K34" s="49" t="s">
        <v>64</v>
      </c>
      <c r="L34" s="49" t="s">
        <v>7</v>
      </c>
      <c r="M34" s="58"/>
      <c r="N34" s="57"/>
      <c r="O34" s="57"/>
      <c r="P34" s="59"/>
      <c r="Q34" s="57"/>
      <c r="R34" s="57"/>
      <c r="S34" s="59"/>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60">
        <f t="shared" si="9"/>
        <v>17737.22</v>
      </c>
      <c r="BB34" s="61">
        <f t="shared" si="10"/>
        <v>17737.22</v>
      </c>
      <c r="BC34" s="56" t="str">
        <f t="shared" si="11"/>
        <v>INR  Seventeen Thousand Seven Hundred &amp; Thirty Seven  and Paise Twenty Two Only</v>
      </c>
      <c r="BD34" s="70">
        <v>4243</v>
      </c>
      <c r="BE34" s="72">
        <f t="shared" si="0"/>
        <v>4799.68</v>
      </c>
      <c r="BF34" s="72">
        <f t="shared" si="1"/>
        <v>678880</v>
      </c>
      <c r="BG34" s="72"/>
      <c r="BK34" s="15">
        <f t="shared" si="2"/>
        <v>125.4</v>
      </c>
      <c r="BL34" s="15">
        <f t="shared" si="3"/>
        <v>8918.91</v>
      </c>
      <c r="BM34" s="15">
        <f t="shared" si="4"/>
        <v>125.4</v>
      </c>
      <c r="BN34" s="72">
        <f t="shared" si="5"/>
        <v>110.86</v>
      </c>
      <c r="BO34" s="15">
        <f t="shared" si="6"/>
        <v>125.4</v>
      </c>
      <c r="BP34" s="79">
        <v>98</v>
      </c>
      <c r="BQ34" s="15">
        <f t="shared" si="7"/>
        <v>110.8576</v>
      </c>
      <c r="HR34" s="16"/>
      <c r="HS34" s="16"/>
      <c r="HT34" s="16"/>
      <c r="HU34" s="16"/>
      <c r="HV34" s="16"/>
    </row>
    <row r="35" spans="1:230" s="15" customFormat="1" ht="276" customHeight="1">
      <c r="A35" s="64">
        <v>23</v>
      </c>
      <c r="B35" s="80" t="s">
        <v>123</v>
      </c>
      <c r="C35" s="71" t="s">
        <v>74</v>
      </c>
      <c r="D35" s="77">
        <v>50</v>
      </c>
      <c r="E35" s="78" t="s">
        <v>92</v>
      </c>
      <c r="F35" s="79">
        <v>752.248</v>
      </c>
      <c r="G35" s="57"/>
      <c r="H35" s="47"/>
      <c r="I35" s="46" t="s">
        <v>39</v>
      </c>
      <c r="J35" s="48">
        <f>IF(I35="Less(-)",-1,1)</f>
        <v>1</v>
      </c>
      <c r="K35" s="49" t="s">
        <v>64</v>
      </c>
      <c r="L35" s="49" t="s">
        <v>7</v>
      </c>
      <c r="M35" s="58"/>
      <c r="N35" s="57"/>
      <c r="O35" s="57"/>
      <c r="P35" s="59"/>
      <c r="Q35" s="57"/>
      <c r="R35" s="57"/>
      <c r="S35" s="59"/>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60">
        <f>total_amount_ba($B$2,$D$2,D35,F35,J35,K35,M35)</f>
        <v>37612.4</v>
      </c>
      <c r="BB35" s="61">
        <f>BA35+SUM(N35:AZ35)</f>
        <v>37612.4</v>
      </c>
      <c r="BC35" s="56" t="str">
        <f>SpellNumber(L35,BB35)</f>
        <v>INR  Thirty Seven Thousand Six Hundred &amp; Twelve  and Paise Forty Only</v>
      </c>
      <c r="BD35" s="70">
        <v>4466</v>
      </c>
      <c r="BE35" s="72">
        <f t="shared" si="0"/>
        <v>5051.94</v>
      </c>
      <c r="BF35" s="72">
        <f t="shared" si="1"/>
        <v>223300</v>
      </c>
      <c r="BG35" s="72"/>
      <c r="BK35" s="15">
        <f t="shared" si="2"/>
        <v>850.94</v>
      </c>
      <c r="BL35" s="15">
        <f t="shared" si="3"/>
        <v>125.4</v>
      </c>
      <c r="BM35" s="15">
        <f t="shared" si="4"/>
        <v>850.94</v>
      </c>
      <c r="BN35" s="72">
        <f t="shared" si="5"/>
        <v>752.25</v>
      </c>
      <c r="BO35" s="15">
        <f t="shared" si="6"/>
        <v>850.95</v>
      </c>
      <c r="BP35" s="79">
        <v>665</v>
      </c>
      <c r="BQ35" s="15">
        <f t="shared" si="7"/>
        <v>752.248</v>
      </c>
      <c r="HR35" s="16"/>
      <c r="HS35" s="16"/>
      <c r="HT35" s="16"/>
      <c r="HU35" s="16"/>
      <c r="HV35" s="16"/>
    </row>
    <row r="36" spans="1:230" s="15" customFormat="1" ht="288.75" customHeight="1">
      <c r="A36" s="64">
        <v>24</v>
      </c>
      <c r="B36" s="80" t="s">
        <v>111</v>
      </c>
      <c r="C36" s="71" t="s">
        <v>75</v>
      </c>
      <c r="D36" s="77">
        <v>30</v>
      </c>
      <c r="E36" s="78" t="s">
        <v>92</v>
      </c>
      <c r="F36" s="79">
        <v>610.848</v>
      </c>
      <c r="G36" s="57"/>
      <c r="H36" s="47"/>
      <c r="I36" s="46" t="s">
        <v>39</v>
      </c>
      <c r="J36" s="48">
        <f t="shared" si="8"/>
        <v>1</v>
      </c>
      <c r="K36" s="49" t="s">
        <v>64</v>
      </c>
      <c r="L36" s="49" t="s">
        <v>7</v>
      </c>
      <c r="M36" s="58"/>
      <c r="N36" s="57"/>
      <c r="O36" s="57"/>
      <c r="P36" s="59"/>
      <c r="Q36" s="57"/>
      <c r="R36" s="57"/>
      <c r="S36" s="59"/>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60">
        <f t="shared" si="9"/>
        <v>18325.44</v>
      </c>
      <c r="BB36" s="61">
        <f t="shared" si="10"/>
        <v>18325.44</v>
      </c>
      <c r="BC36" s="56" t="str">
        <f t="shared" si="11"/>
        <v>INR  Eighteen Thousand Three Hundred &amp; Twenty Five  and Paise Forty Four Only</v>
      </c>
      <c r="BD36" s="70">
        <v>4799</v>
      </c>
      <c r="BE36" s="72">
        <f t="shared" si="0"/>
        <v>5428.63</v>
      </c>
      <c r="BF36" s="72">
        <f t="shared" si="1"/>
        <v>143970</v>
      </c>
      <c r="BG36" s="72"/>
      <c r="BK36" s="15">
        <f t="shared" si="2"/>
        <v>690.99</v>
      </c>
      <c r="BL36" s="15">
        <f t="shared" si="3"/>
        <v>850.94</v>
      </c>
      <c r="BM36" s="15">
        <f t="shared" si="4"/>
        <v>690.99</v>
      </c>
      <c r="BN36" s="72">
        <f t="shared" si="5"/>
        <v>610.85</v>
      </c>
      <c r="BO36" s="15">
        <f t="shared" si="6"/>
        <v>690.99</v>
      </c>
      <c r="BP36" s="79">
        <v>540</v>
      </c>
      <c r="BQ36" s="15">
        <f t="shared" si="7"/>
        <v>610.848</v>
      </c>
      <c r="HR36" s="16"/>
      <c r="HS36" s="16"/>
      <c r="HT36" s="16"/>
      <c r="HU36" s="16"/>
      <c r="HV36" s="16"/>
    </row>
    <row r="37" spans="1:230" s="15" customFormat="1" ht="252.75" customHeight="1">
      <c r="A37" s="64">
        <v>25</v>
      </c>
      <c r="B37" s="80" t="s">
        <v>112</v>
      </c>
      <c r="C37" s="71" t="s">
        <v>76</v>
      </c>
      <c r="D37" s="77">
        <v>20</v>
      </c>
      <c r="E37" s="78" t="s">
        <v>92</v>
      </c>
      <c r="F37" s="79">
        <v>345.016</v>
      </c>
      <c r="G37" s="57"/>
      <c r="H37" s="47"/>
      <c r="I37" s="46" t="s">
        <v>39</v>
      </c>
      <c r="J37" s="48">
        <f>IF(I37="Less(-)",-1,1)</f>
        <v>1</v>
      </c>
      <c r="K37" s="49" t="s">
        <v>64</v>
      </c>
      <c r="L37" s="49" t="s">
        <v>7</v>
      </c>
      <c r="M37" s="58"/>
      <c r="N37" s="57"/>
      <c r="O37" s="57"/>
      <c r="P37" s="59"/>
      <c r="Q37" s="57"/>
      <c r="R37" s="57"/>
      <c r="S37" s="59"/>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60">
        <f>total_amount_ba($B$2,$D$2,D37,F37,J37,K37,M37)</f>
        <v>6900.32</v>
      </c>
      <c r="BB37" s="61">
        <f>BA37+SUM(N37:AZ37)</f>
        <v>6900.32</v>
      </c>
      <c r="BC37" s="56" t="str">
        <f>SpellNumber(L37,BB37)</f>
        <v>INR  Six Thousand Nine Hundred    and Paise Thirty Two Only</v>
      </c>
      <c r="BD37" s="70">
        <v>4910</v>
      </c>
      <c r="BE37" s="72">
        <f t="shared" si="0"/>
        <v>5554.19</v>
      </c>
      <c r="BF37" s="72">
        <f t="shared" si="1"/>
        <v>98200</v>
      </c>
      <c r="BG37" s="72"/>
      <c r="BK37" s="15">
        <f t="shared" si="2"/>
        <v>390.28</v>
      </c>
      <c r="BL37" s="15">
        <f t="shared" si="3"/>
        <v>690.99</v>
      </c>
      <c r="BM37" s="15">
        <f t="shared" si="4"/>
        <v>390.28</v>
      </c>
      <c r="BN37" s="72">
        <f t="shared" si="5"/>
        <v>345.02</v>
      </c>
      <c r="BO37" s="15">
        <f t="shared" si="6"/>
        <v>390.29</v>
      </c>
      <c r="BP37" s="79">
        <v>305</v>
      </c>
      <c r="BQ37" s="15">
        <f t="shared" si="7"/>
        <v>345.016</v>
      </c>
      <c r="HR37" s="16"/>
      <c r="HS37" s="16"/>
      <c r="HT37" s="16"/>
      <c r="HU37" s="16"/>
      <c r="HV37" s="16"/>
    </row>
    <row r="38" spans="1:230" s="15" customFormat="1" ht="89.25" customHeight="1">
      <c r="A38" s="64">
        <v>26</v>
      </c>
      <c r="B38" s="76" t="s">
        <v>124</v>
      </c>
      <c r="C38" s="71" t="s">
        <v>77</v>
      </c>
      <c r="D38" s="77">
        <v>1</v>
      </c>
      <c r="E38" s="78" t="s">
        <v>93</v>
      </c>
      <c r="F38" s="79">
        <v>4444.4848</v>
      </c>
      <c r="G38" s="57"/>
      <c r="H38" s="47"/>
      <c r="I38" s="46" t="s">
        <v>39</v>
      </c>
      <c r="J38" s="48">
        <f>IF(I38="Less(-)",-1,1)</f>
        <v>1</v>
      </c>
      <c r="K38" s="49" t="s">
        <v>64</v>
      </c>
      <c r="L38" s="49" t="s">
        <v>7</v>
      </c>
      <c r="M38" s="58"/>
      <c r="N38" s="57"/>
      <c r="O38" s="57"/>
      <c r="P38" s="59"/>
      <c r="Q38" s="57"/>
      <c r="R38" s="57"/>
      <c r="S38" s="59"/>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60">
        <f>total_amount_ba($B$2,$D$2,D38,F38,J38,K38,M38)</f>
        <v>4444.48</v>
      </c>
      <c r="BB38" s="61">
        <f>BA38+SUM(N38:AZ38)</f>
        <v>4444.48</v>
      </c>
      <c r="BC38" s="56" t="str">
        <f>SpellNumber(L38,BB38)</f>
        <v>INR  Four Thousand Four Hundred &amp; Forty Four  and Paise Forty Eight Only</v>
      </c>
      <c r="BD38" s="70">
        <v>592</v>
      </c>
      <c r="BE38" s="72">
        <f t="shared" si="0"/>
        <v>669.67</v>
      </c>
      <c r="BF38" s="72">
        <f t="shared" si="1"/>
        <v>592</v>
      </c>
      <c r="BG38" s="72"/>
      <c r="BK38" s="15">
        <f t="shared" si="2"/>
        <v>5027.6</v>
      </c>
      <c r="BL38" s="15">
        <f t="shared" si="3"/>
        <v>390.28</v>
      </c>
      <c r="BM38" s="15">
        <f t="shared" si="4"/>
        <v>5027.6</v>
      </c>
      <c r="BN38" s="72">
        <f t="shared" si="5"/>
        <v>4444.48</v>
      </c>
      <c r="BO38" s="15">
        <f t="shared" si="6"/>
        <v>5027.6</v>
      </c>
      <c r="BP38" s="79">
        <v>3929</v>
      </c>
      <c r="BQ38" s="15">
        <f t="shared" si="7"/>
        <v>4444.4848</v>
      </c>
      <c r="HR38" s="16"/>
      <c r="HS38" s="16"/>
      <c r="HT38" s="16"/>
      <c r="HU38" s="16"/>
      <c r="HV38" s="16"/>
    </row>
    <row r="39" spans="1:230" s="15" customFormat="1" ht="86.25" customHeight="1">
      <c r="A39" s="64">
        <v>27</v>
      </c>
      <c r="B39" s="76" t="s">
        <v>125</v>
      </c>
      <c r="C39" s="71" t="s">
        <v>78</v>
      </c>
      <c r="D39" s="77">
        <v>6</v>
      </c>
      <c r="E39" s="78" t="s">
        <v>93</v>
      </c>
      <c r="F39" s="79">
        <v>2671.8944</v>
      </c>
      <c r="G39" s="57"/>
      <c r="H39" s="47"/>
      <c r="I39" s="46" t="s">
        <v>39</v>
      </c>
      <c r="J39" s="48">
        <f>IF(I39="Less(-)",-1,1)</f>
        <v>1</v>
      </c>
      <c r="K39" s="49" t="s">
        <v>64</v>
      </c>
      <c r="L39" s="49" t="s">
        <v>7</v>
      </c>
      <c r="M39" s="58"/>
      <c r="N39" s="57"/>
      <c r="O39" s="57"/>
      <c r="P39" s="59"/>
      <c r="Q39" s="57"/>
      <c r="R39" s="57"/>
      <c r="S39" s="59"/>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60">
        <f>total_amount_ba($B$2,$D$2,D39,F39,J39,K39,M39)</f>
        <v>16031.37</v>
      </c>
      <c r="BB39" s="61">
        <f>BA39+SUM(N39:AZ39)</f>
        <v>16031.37</v>
      </c>
      <c r="BC39" s="56" t="str">
        <f>SpellNumber(L39,BB39)</f>
        <v>INR  Sixteen Thousand  &amp;Thirty One  and Paise Thirty Seven Only</v>
      </c>
      <c r="BD39" s="70">
        <v>604</v>
      </c>
      <c r="BE39" s="72">
        <f t="shared" si="0"/>
        <v>683.24</v>
      </c>
      <c r="BF39" s="72">
        <f t="shared" si="1"/>
        <v>3624</v>
      </c>
      <c r="BG39" s="72"/>
      <c r="BK39" s="15">
        <f t="shared" si="2"/>
        <v>3022.45</v>
      </c>
      <c r="BL39" s="15">
        <f t="shared" si="3"/>
        <v>5027.6</v>
      </c>
      <c r="BM39" s="15">
        <f t="shared" si="4"/>
        <v>3022.45</v>
      </c>
      <c r="BN39" s="72">
        <f t="shared" si="5"/>
        <v>2671.89</v>
      </c>
      <c r="BO39" s="15">
        <f t="shared" si="6"/>
        <v>3022.44</v>
      </c>
      <c r="BP39" s="79">
        <v>2362</v>
      </c>
      <c r="BQ39" s="15">
        <f t="shared" si="7"/>
        <v>2671.8944</v>
      </c>
      <c r="HR39" s="16"/>
      <c r="HS39" s="16"/>
      <c r="HT39" s="16"/>
      <c r="HU39" s="16"/>
      <c r="HV39" s="16"/>
    </row>
    <row r="40" spans="1:230" s="15" customFormat="1" ht="48" customHeight="1">
      <c r="A40" s="64">
        <v>28</v>
      </c>
      <c r="B40" s="76" t="s">
        <v>113</v>
      </c>
      <c r="C40" s="71" t="s">
        <v>79</v>
      </c>
      <c r="D40" s="77">
        <v>6</v>
      </c>
      <c r="E40" s="78" t="s">
        <v>93</v>
      </c>
      <c r="F40" s="79">
        <v>857.4496</v>
      </c>
      <c r="G40" s="57"/>
      <c r="H40" s="47"/>
      <c r="I40" s="46" t="s">
        <v>39</v>
      </c>
      <c r="J40" s="48">
        <f t="shared" si="8"/>
        <v>1</v>
      </c>
      <c r="K40" s="49" t="s">
        <v>64</v>
      </c>
      <c r="L40" s="49" t="s">
        <v>7</v>
      </c>
      <c r="M40" s="58"/>
      <c r="N40" s="57"/>
      <c r="O40" s="57"/>
      <c r="P40" s="59"/>
      <c r="Q40" s="57"/>
      <c r="R40" s="57"/>
      <c r="S40" s="59"/>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60">
        <f t="shared" si="9"/>
        <v>5144.7</v>
      </c>
      <c r="BB40" s="61">
        <f t="shared" si="10"/>
        <v>5144.7</v>
      </c>
      <c r="BC40" s="56" t="str">
        <f t="shared" si="11"/>
        <v>INR  Five Thousand One Hundred &amp; Forty Four  and Paise Seventy Only</v>
      </c>
      <c r="BD40" s="70">
        <v>616</v>
      </c>
      <c r="BE40" s="72">
        <f t="shared" si="0"/>
        <v>696.82</v>
      </c>
      <c r="BF40" s="72">
        <f t="shared" si="1"/>
        <v>3696</v>
      </c>
      <c r="BG40" s="72"/>
      <c r="BK40" s="15">
        <f t="shared" si="2"/>
        <v>969.95</v>
      </c>
      <c r="BL40" s="15">
        <f t="shared" si="3"/>
        <v>3022.45</v>
      </c>
      <c r="BM40" s="15">
        <f t="shared" si="4"/>
        <v>969.95</v>
      </c>
      <c r="BN40" s="72">
        <f t="shared" si="5"/>
        <v>857.45</v>
      </c>
      <c r="BO40" s="15">
        <f t="shared" si="6"/>
        <v>969.95</v>
      </c>
      <c r="BP40" s="79">
        <v>758</v>
      </c>
      <c r="BQ40" s="15">
        <f t="shared" si="7"/>
        <v>857.4496</v>
      </c>
      <c r="HR40" s="16"/>
      <c r="HS40" s="16"/>
      <c r="HT40" s="16"/>
      <c r="HU40" s="16"/>
      <c r="HV40" s="16"/>
    </row>
    <row r="41" spans="1:230" s="15" customFormat="1" ht="45.75" customHeight="1">
      <c r="A41" s="64">
        <v>29</v>
      </c>
      <c r="B41" s="76" t="s">
        <v>126</v>
      </c>
      <c r="C41" s="71" t="s">
        <v>80</v>
      </c>
      <c r="D41" s="77">
        <v>6</v>
      </c>
      <c r="E41" s="78" t="s">
        <v>93</v>
      </c>
      <c r="F41" s="79">
        <v>154.9744</v>
      </c>
      <c r="G41" s="57"/>
      <c r="H41" s="47"/>
      <c r="I41" s="46" t="s">
        <v>39</v>
      </c>
      <c r="J41" s="48">
        <f t="shared" si="8"/>
        <v>1</v>
      </c>
      <c r="K41" s="49" t="s">
        <v>64</v>
      </c>
      <c r="L41" s="49" t="s">
        <v>7</v>
      </c>
      <c r="M41" s="58"/>
      <c r="N41" s="57"/>
      <c r="O41" s="57"/>
      <c r="P41" s="59"/>
      <c r="Q41" s="57"/>
      <c r="R41" s="57"/>
      <c r="S41" s="59"/>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60">
        <f t="shared" si="9"/>
        <v>929.85</v>
      </c>
      <c r="BB41" s="61">
        <f t="shared" si="10"/>
        <v>929.85</v>
      </c>
      <c r="BC41" s="56" t="str">
        <f t="shared" si="11"/>
        <v>INR  Nine Hundred &amp; Twenty Nine  and Paise Eighty Five Only</v>
      </c>
      <c r="BD41" s="70">
        <v>628</v>
      </c>
      <c r="BE41" s="72">
        <f t="shared" si="0"/>
        <v>710.39</v>
      </c>
      <c r="BF41" s="72">
        <f t="shared" si="1"/>
        <v>3768</v>
      </c>
      <c r="BG41" s="72"/>
      <c r="BK41" s="15">
        <f t="shared" si="2"/>
        <v>175.31</v>
      </c>
      <c r="BL41" s="15">
        <f t="shared" si="3"/>
        <v>969.95</v>
      </c>
      <c r="BM41" s="15">
        <f t="shared" si="4"/>
        <v>175.31</v>
      </c>
      <c r="BN41" s="72">
        <f t="shared" si="5"/>
        <v>154.97</v>
      </c>
      <c r="BO41" s="15">
        <f t="shared" si="6"/>
        <v>175.3</v>
      </c>
      <c r="BP41" s="79">
        <v>137</v>
      </c>
      <c r="BQ41" s="15">
        <f t="shared" si="7"/>
        <v>154.9744</v>
      </c>
      <c r="HR41" s="16"/>
      <c r="HS41" s="16"/>
      <c r="HT41" s="16"/>
      <c r="HU41" s="16"/>
      <c r="HV41" s="16"/>
    </row>
    <row r="42" spans="1:230" s="15" customFormat="1" ht="30.75" customHeight="1">
      <c r="A42" s="64">
        <v>30</v>
      </c>
      <c r="B42" s="76" t="s">
        <v>136</v>
      </c>
      <c r="C42" s="71" t="s">
        <v>81</v>
      </c>
      <c r="D42" s="77">
        <v>6</v>
      </c>
      <c r="E42" s="78" t="s">
        <v>93</v>
      </c>
      <c r="F42" s="79">
        <v>356.328</v>
      </c>
      <c r="G42" s="57">
        <v>104</v>
      </c>
      <c r="H42" s="47"/>
      <c r="I42" s="46" t="s">
        <v>39</v>
      </c>
      <c r="J42" s="48">
        <f>IF(I42="Less(-)",-1,1)</f>
        <v>1</v>
      </c>
      <c r="K42" s="49" t="s">
        <v>64</v>
      </c>
      <c r="L42" s="49" t="s">
        <v>7</v>
      </c>
      <c r="M42" s="58"/>
      <c r="N42" s="57"/>
      <c r="O42" s="57"/>
      <c r="P42" s="59"/>
      <c r="Q42" s="57"/>
      <c r="R42" s="57"/>
      <c r="S42" s="59"/>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60">
        <f>total_amount_ba($B$2,$D$2,D42,F42,J42,K42,M42)</f>
        <v>2137.97</v>
      </c>
      <c r="BB42" s="61">
        <f>BA42+SUM(N42:AZ42)</f>
        <v>2137.97</v>
      </c>
      <c r="BC42" s="56" t="str">
        <f>SpellNumber(L42,BB42)</f>
        <v>INR  Two Thousand One Hundred &amp; Thirty Seven  and Paise Ninety Seven Only</v>
      </c>
      <c r="BD42" s="70">
        <v>640</v>
      </c>
      <c r="BE42" s="72">
        <f t="shared" si="0"/>
        <v>723.97</v>
      </c>
      <c r="BF42" s="72">
        <f t="shared" si="1"/>
        <v>3840</v>
      </c>
      <c r="BG42" s="72"/>
      <c r="BK42" s="15">
        <f t="shared" si="2"/>
        <v>403.08</v>
      </c>
      <c r="BL42" s="15">
        <f t="shared" si="3"/>
        <v>175.31</v>
      </c>
      <c r="BM42" s="15">
        <f t="shared" si="4"/>
        <v>403.08</v>
      </c>
      <c r="BN42" s="72">
        <f t="shared" si="5"/>
        <v>356.33</v>
      </c>
      <c r="BO42" s="15">
        <f t="shared" si="6"/>
        <v>403.08</v>
      </c>
      <c r="BP42" s="79">
        <v>315</v>
      </c>
      <c r="BQ42" s="15">
        <f t="shared" si="7"/>
        <v>356.328</v>
      </c>
      <c r="HR42" s="16"/>
      <c r="HS42" s="16"/>
      <c r="HT42" s="16"/>
      <c r="HU42" s="16"/>
      <c r="HV42" s="16"/>
    </row>
    <row r="43" spans="1:230" s="15" customFormat="1" ht="48" customHeight="1">
      <c r="A43" s="64">
        <v>31</v>
      </c>
      <c r="B43" s="76" t="s">
        <v>114</v>
      </c>
      <c r="C43" s="71" t="s">
        <v>82</v>
      </c>
      <c r="D43" s="77">
        <v>6</v>
      </c>
      <c r="E43" s="78" t="s">
        <v>93</v>
      </c>
      <c r="F43" s="79">
        <v>132.3504</v>
      </c>
      <c r="G43" s="57"/>
      <c r="H43" s="47"/>
      <c r="I43" s="46" t="s">
        <v>39</v>
      </c>
      <c r="J43" s="48">
        <f t="shared" si="8"/>
        <v>1</v>
      </c>
      <c r="K43" s="49" t="s">
        <v>64</v>
      </c>
      <c r="L43" s="49" t="s">
        <v>7</v>
      </c>
      <c r="M43" s="58"/>
      <c r="N43" s="57"/>
      <c r="O43" s="57"/>
      <c r="P43" s="59"/>
      <c r="Q43" s="57"/>
      <c r="R43" s="57"/>
      <c r="S43" s="59"/>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60">
        <f t="shared" si="9"/>
        <v>794.1</v>
      </c>
      <c r="BB43" s="61">
        <f t="shared" si="10"/>
        <v>794.1</v>
      </c>
      <c r="BC43" s="56" t="str">
        <f t="shared" si="11"/>
        <v>INR  Seven Hundred &amp; Ninety Four  and Paise Ten Only</v>
      </c>
      <c r="BD43" s="70">
        <v>175</v>
      </c>
      <c r="BE43" s="72">
        <f t="shared" si="0"/>
        <v>197.96</v>
      </c>
      <c r="BF43" s="72">
        <f t="shared" si="1"/>
        <v>1050</v>
      </c>
      <c r="BG43" s="72"/>
      <c r="BK43" s="15">
        <f t="shared" si="2"/>
        <v>149.71</v>
      </c>
      <c r="BL43" s="15">
        <f t="shared" si="3"/>
        <v>403.08</v>
      </c>
      <c r="BM43" s="15">
        <f t="shared" si="4"/>
        <v>149.71</v>
      </c>
      <c r="BN43" s="72">
        <f t="shared" si="5"/>
        <v>132.35</v>
      </c>
      <c r="BO43" s="15">
        <f t="shared" si="6"/>
        <v>149.71</v>
      </c>
      <c r="BP43" s="79">
        <v>117</v>
      </c>
      <c r="BQ43" s="15">
        <f t="shared" si="7"/>
        <v>132.3504</v>
      </c>
      <c r="HR43" s="16"/>
      <c r="HS43" s="16"/>
      <c r="HT43" s="16"/>
      <c r="HU43" s="16"/>
      <c r="HV43" s="16"/>
    </row>
    <row r="44" spans="1:230" s="15" customFormat="1" ht="30.75" customHeight="1">
      <c r="A44" s="64">
        <v>32</v>
      </c>
      <c r="B44" s="76" t="s">
        <v>137</v>
      </c>
      <c r="C44" s="71" t="s">
        <v>83</v>
      </c>
      <c r="D44" s="77">
        <v>6</v>
      </c>
      <c r="E44" s="78" t="s">
        <v>93</v>
      </c>
      <c r="F44" s="79">
        <v>297.5056</v>
      </c>
      <c r="G44" s="57"/>
      <c r="H44" s="47"/>
      <c r="I44" s="46" t="s">
        <v>39</v>
      </c>
      <c r="J44" s="48">
        <f t="shared" si="8"/>
        <v>1</v>
      </c>
      <c r="K44" s="49" t="s">
        <v>64</v>
      </c>
      <c r="L44" s="49" t="s">
        <v>7</v>
      </c>
      <c r="M44" s="58"/>
      <c r="N44" s="57"/>
      <c r="O44" s="57"/>
      <c r="P44" s="59"/>
      <c r="Q44" s="57"/>
      <c r="R44" s="57"/>
      <c r="S44" s="59"/>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60">
        <f t="shared" si="9"/>
        <v>1785.03</v>
      </c>
      <c r="BB44" s="61">
        <f t="shared" si="10"/>
        <v>1785.03</v>
      </c>
      <c r="BC44" s="56" t="str">
        <f t="shared" si="11"/>
        <v>INR  One Thousand Seven Hundred &amp; Eighty Five  and Paise Three Only</v>
      </c>
      <c r="BD44" s="70">
        <v>75572</v>
      </c>
      <c r="BE44" s="72">
        <f t="shared" si="0"/>
        <v>85487.05</v>
      </c>
      <c r="BF44" s="72">
        <f t="shared" si="1"/>
        <v>453432</v>
      </c>
      <c r="BG44" s="72"/>
      <c r="BK44" s="15">
        <f t="shared" si="2"/>
        <v>336.54</v>
      </c>
      <c r="BL44" s="15">
        <f t="shared" si="3"/>
        <v>149.71</v>
      </c>
      <c r="BM44" s="15">
        <f t="shared" si="4"/>
        <v>336.54</v>
      </c>
      <c r="BN44" s="72">
        <f t="shared" si="5"/>
        <v>297.51</v>
      </c>
      <c r="BO44" s="15">
        <f t="shared" si="6"/>
        <v>336.54</v>
      </c>
      <c r="BP44" s="79">
        <v>263</v>
      </c>
      <c r="BQ44" s="15">
        <f t="shared" si="7"/>
        <v>297.5056</v>
      </c>
      <c r="HR44" s="16"/>
      <c r="HS44" s="16"/>
      <c r="HT44" s="16"/>
      <c r="HU44" s="16"/>
      <c r="HV44" s="16"/>
    </row>
    <row r="45" spans="1:230" s="15" customFormat="1" ht="87.75" customHeight="1">
      <c r="A45" s="64">
        <v>33</v>
      </c>
      <c r="B45" s="76" t="s">
        <v>138</v>
      </c>
      <c r="C45" s="71" t="s">
        <v>84</v>
      </c>
      <c r="D45" s="77">
        <v>6</v>
      </c>
      <c r="E45" s="78" t="s">
        <v>118</v>
      </c>
      <c r="F45" s="79">
        <v>180.992</v>
      </c>
      <c r="G45" s="57"/>
      <c r="H45" s="47"/>
      <c r="I45" s="46" t="s">
        <v>39</v>
      </c>
      <c r="J45" s="48">
        <f t="shared" si="8"/>
        <v>1</v>
      </c>
      <c r="K45" s="49" t="s">
        <v>64</v>
      </c>
      <c r="L45" s="49" t="s">
        <v>7</v>
      </c>
      <c r="M45" s="58"/>
      <c r="N45" s="57"/>
      <c r="O45" s="57"/>
      <c r="P45" s="59"/>
      <c r="Q45" s="57"/>
      <c r="R45" s="57"/>
      <c r="S45" s="59"/>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60">
        <f t="shared" si="9"/>
        <v>1085.95</v>
      </c>
      <c r="BB45" s="61">
        <f t="shared" si="10"/>
        <v>1085.95</v>
      </c>
      <c r="BC45" s="56" t="str">
        <f t="shared" si="11"/>
        <v>INR  One Thousand  &amp;Eighty Five  and Paise Ninety Five Only</v>
      </c>
      <c r="BD45" s="70">
        <v>75772</v>
      </c>
      <c r="BE45" s="72">
        <f t="shared" si="0"/>
        <v>85713.29</v>
      </c>
      <c r="BF45" s="72">
        <f t="shared" si="1"/>
        <v>454632</v>
      </c>
      <c r="BG45" s="72"/>
      <c r="BK45" s="15">
        <f t="shared" si="2"/>
        <v>204.74</v>
      </c>
      <c r="BL45" s="15">
        <f t="shared" si="3"/>
        <v>336.54</v>
      </c>
      <c r="BM45" s="15">
        <f t="shared" si="4"/>
        <v>204.74</v>
      </c>
      <c r="BN45" s="72">
        <f t="shared" si="5"/>
        <v>180.99</v>
      </c>
      <c r="BO45" s="15">
        <f t="shared" si="6"/>
        <v>204.74</v>
      </c>
      <c r="BP45" s="79">
        <v>160</v>
      </c>
      <c r="BQ45" s="15">
        <f t="shared" si="7"/>
        <v>180.992</v>
      </c>
      <c r="HR45" s="16"/>
      <c r="HS45" s="16"/>
      <c r="HT45" s="16"/>
      <c r="HU45" s="16"/>
      <c r="HV45" s="16"/>
    </row>
    <row r="46" spans="1:230" s="15" customFormat="1" ht="108" customHeight="1">
      <c r="A46" s="64">
        <v>34</v>
      </c>
      <c r="B46" s="76" t="s">
        <v>127</v>
      </c>
      <c r="C46" s="71" t="s">
        <v>85</v>
      </c>
      <c r="D46" s="77">
        <v>0.047</v>
      </c>
      <c r="E46" s="78" t="s">
        <v>128</v>
      </c>
      <c r="F46" s="79">
        <v>505.6464</v>
      </c>
      <c r="G46" s="57"/>
      <c r="H46" s="47"/>
      <c r="I46" s="46" t="s">
        <v>39</v>
      </c>
      <c r="J46" s="48">
        <f t="shared" si="8"/>
        <v>1</v>
      </c>
      <c r="K46" s="49" t="s">
        <v>64</v>
      </c>
      <c r="L46" s="49" t="s">
        <v>7</v>
      </c>
      <c r="M46" s="58"/>
      <c r="N46" s="57"/>
      <c r="O46" s="57"/>
      <c r="P46" s="59"/>
      <c r="Q46" s="57"/>
      <c r="R46" s="57"/>
      <c r="S46" s="59"/>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60">
        <f t="shared" si="9"/>
        <v>23.77</v>
      </c>
      <c r="BB46" s="61">
        <f t="shared" si="10"/>
        <v>23.77</v>
      </c>
      <c r="BC46" s="56" t="str">
        <f t="shared" si="11"/>
        <v>INR  Twenty Three and Paise Seventy Seven Only</v>
      </c>
      <c r="BD46" s="70">
        <v>75972</v>
      </c>
      <c r="BE46" s="72">
        <f t="shared" si="0"/>
        <v>85939.53</v>
      </c>
      <c r="BF46" s="72">
        <f t="shared" si="1"/>
        <v>3570.68</v>
      </c>
      <c r="BG46" s="72"/>
      <c r="BK46" s="15">
        <f t="shared" si="2"/>
        <v>571.99</v>
      </c>
      <c r="BL46" s="15">
        <f t="shared" si="3"/>
        <v>204.74</v>
      </c>
      <c r="BM46" s="15">
        <f t="shared" si="4"/>
        <v>571.99</v>
      </c>
      <c r="BN46" s="72">
        <f t="shared" si="5"/>
        <v>505.65</v>
      </c>
      <c r="BO46" s="15">
        <f t="shared" si="6"/>
        <v>571.99</v>
      </c>
      <c r="BP46" s="79">
        <v>447</v>
      </c>
      <c r="BQ46" s="15">
        <f t="shared" si="7"/>
        <v>505.6464</v>
      </c>
      <c r="HR46" s="16"/>
      <c r="HS46" s="16"/>
      <c r="HT46" s="16"/>
      <c r="HU46" s="16"/>
      <c r="HV46" s="16"/>
    </row>
    <row r="47" spans="1:230" s="15" customFormat="1" ht="48" customHeight="1">
      <c r="A47" s="64">
        <v>35</v>
      </c>
      <c r="B47" s="76" t="s">
        <v>129</v>
      </c>
      <c r="C47" s="71" t="s">
        <v>86</v>
      </c>
      <c r="D47" s="77">
        <v>0.216</v>
      </c>
      <c r="E47" s="78" t="s">
        <v>128</v>
      </c>
      <c r="F47" s="79">
        <v>6123.1856</v>
      </c>
      <c r="G47" s="57"/>
      <c r="H47" s="47"/>
      <c r="I47" s="46" t="s">
        <v>39</v>
      </c>
      <c r="J47" s="48">
        <f t="shared" si="8"/>
        <v>1</v>
      </c>
      <c r="K47" s="49" t="s">
        <v>64</v>
      </c>
      <c r="L47" s="49" t="s">
        <v>7</v>
      </c>
      <c r="M47" s="58"/>
      <c r="N47" s="57"/>
      <c r="O47" s="57"/>
      <c r="P47" s="59"/>
      <c r="Q47" s="57"/>
      <c r="R47" s="57"/>
      <c r="S47" s="59"/>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60">
        <f t="shared" si="9"/>
        <v>1322.61</v>
      </c>
      <c r="BB47" s="61">
        <f t="shared" si="10"/>
        <v>1322.61</v>
      </c>
      <c r="BC47" s="56" t="str">
        <f t="shared" si="11"/>
        <v>INR  One Thousand Three Hundred &amp; Twenty Two  and Paise Sixty One Only</v>
      </c>
      <c r="BD47" s="70">
        <v>76172</v>
      </c>
      <c r="BE47" s="72">
        <f t="shared" si="0"/>
        <v>86165.77</v>
      </c>
      <c r="BF47" s="72">
        <f t="shared" si="1"/>
        <v>16453.15</v>
      </c>
      <c r="BG47" s="72"/>
      <c r="BK47" s="15">
        <f t="shared" si="2"/>
        <v>6926.55</v>
      </c>
      <c r="BL47" s="15">
        <f t="shared" si="3"/>
        <v>571.99</v>
      </c>
      <c r="BM47" s="15">
        <f t="shared" si="4"/>
        <v>6926.55</v>
      </c>
      <c r="BN47" s="72">
        <f t="shared" si="5"/>
        <v>6123.19</v>
      </c>
      <c r="BO47" s="15">
        <f t="shared" si="6"/>
        <v>6926.55</v>
      </c>
      <c r="BP47" s="79">
        <v>5413</v>
      </c>
      <c r="BQ47" s="15">
        <f t="shared" si="7"/>
        <v>6123.1856</v>
      </c>
      <c r="HR47" s="16"/>
      <c r="HS47" s="16"/>
      <c r="HT47" s="16"/>
      <c r="HU47" s="16"/>
      <c r="HV47" s="16"/>
    </row>
    <row r="48" spans="1:230" s="15" customFormat="1" ht="141" customHeight="1">
      <c r="A48" s="64">
        <v>36</v>
      </c>
      <c r="B48" s="76" t="s">
        <v>139</v>
      </c>
      <c r="C48" s="71" t="s">
        <v>87</v>
      </c>
      <c r="D48" s="77">
        <v>0.48</v>
      </c>
      <c r="E48" s="78" t="s">
        <v>131</v>
      </c>
      <c r="F48" s="79">
        <v>231.896</v>
      </c>
      <c r="G48" s="57"/>
      <c r="H48" s="47"/>
      <c r="I48" s="46" t="s">
        <v>39</v>
      </c>
      <c r="J48" s="48">
        <f>IF(I48="Less(-)",-1,1)</f>
        <v>1</v>
      </c>
      <c r="K48" s="49" t="s">
        <v>64</v>
      </c>
      <c r="L48" s="49" t="s">
        <v>7</v>
      </c>
      <c r="M48" s="58"/>
      <c r="N48" s="57"/>
      <c r="O48" s="57"/>
      <c r="P48" s="59"/>
      <c r="Q48" s="57"/>
      <c r="R48" s="57"/>
      <c r="S48" s="59"/>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60">
        <f>total_amount_ba($B$2,$D$2,D48,F48,J48,K48,M48)</f>
        <v>111.31</v>
      </c>
      <c r="BB48" s="61">
        <f>BA48+SUM(N48:AZ48)</f>
        <v>111.31</v>
      </c>
      <c r="BC48" s="56" t="str">
        <f>SpellNumber(L48,BB48)</f>
        <v>INR  One Hundred &amp; Eleven  and Paise Thirty One Only</v>
      </c>
      <c r="BD48" s="70">
        <v>76372</v>
      </c>
      <c r="BE48" s="72">
        <f t="shared" si="0"/>
        <v>86392.01</v>
      </c>
      <c r="BF48" s="72">
        <f t="shared" si="1"/>
        <v>36658.56</v>
      </c>
      <c r="BG48" s="72"/>
      <c r="BK48" s="15">
        <f t="shared" si="2"/>
        <v>262.32</v>
      </c>
      <c r="BL48" s="15">
        <f t="shared" si="3"/>
        <v>6926.55</v>
      </c>
      <c r="BM48" s="15">
        <f t="shared" si="4"/>
        <v>262.32</v>
      </c>
      <c r="BN48" s="72">
        <f t="shared" si="5"/>
        <v>231.9</v>
      </c>
      <c r="BO48" s="15">
        <f t="shared" si="6"/>
        <v>262.33</v>
      </c>
      <c r="BP48" s="79">
        <v>205</v>
      </c>
      <c r="BQ48" s="15">
        <f t="shared" si="7"/>
        <v>231.896</v>
      </c>
      <c r="HR48" s="16"/>
      <c r="HS48" s="16"/>
      <c r="HT48" s="16"/>
      <c r="HU48" s="16"/>
      <c r="HV48" s="16"/>
    </row>
    <row r="49" spans="1:230" s="15" customFormat="1" ht="101.25" customHeight="1">
      <c r="A49" s="64">
        <v>37</v>
      </c>
      <c r="B49" s="76" t="s">
        <v>132</v>
      </c>
      <c r="C49" s="71" t="s">
        <v>88</v>
      </c>
      <c r="D49" s="77">
        <v>3</v>
      </c>
      <c r="E49" s="78" t="s">
        <v>93</v>
      </c>
      <c r="F49" s="79">
        <v>64.4784</v>
      </c>
      <c r="G49" s="57"/>
      <c r="H49" s="47"/>
      <c r="I49" s="46" t="s">
        <v>39</v>
      </c>
      <c r="J49" s="48">
        <f>IF(I49="Less(-)",-1,1)</f>
        <v>1</v>
      </c>
      <c r="K49" s="49" t="s">
        <v>64</v>
      </c>
      <c r="L49" s="49" t="s">
        <v>7</v>
      </c>
      <c r="M49" s="58"/>
      <c r="N49" s="57"/>
      <c r="O49" s="57"/>
      <c r="P49" s="59"/>
      <c r="Q49" s="57"/>
      <c r="R49" s="57"/>
      <c r="S49" s="59"/>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60">
        <f>total_amount_ba($B$2,$D$2,D49,F49,J49,K49,M49)</f>
        <v>193.44</v>
      </c>
      <c r="BB49" s="61">
        <f>BA49+SUM(N49:AZ49)</f>
        <v>193.44</v>
      </c>
      <c r="BC49" s="56" t="str">
        <f>SpellNumber(L49,BB49)</f>
        <v>INR  One Hundred &amp; Ninety Three  and Paise Forty Four Only</v>
      </c>
      <c r="BD49" s="70">
        <v>76372</v>
      </c>
      <c r="BE49" s="72">
        <f>BD49*1.12*1.01</f>
        <v>86392.01</v>
      </c>
      <c r="BF49" s="72">
        <f>D49*BD49</f>
        <v>229116</v>
      </c>
      <c r="BG49" s="72"/>
      <c r="BK49" s="15">
        <f>ROUND(F49*1.12*1.01,2)</f>
        <v>72.94</v>
      </c>
      <c r="BL49" s="15" t="e">
        <f>ROUND(#REF!*1.12*1.01,2)</f>
        <v>#REF!</v>
      </c>
      <c r="BM49" s="15">
        <f>ROUND(F49*1.12*1.01,2)</f>
        <v>72.94</v>
      </c>
      <c r="BN49" s="72">
        <f>ROUND(F49,2)</f>
        <v>64.48</v>
      </c>
      <c r="BO49" s="15">
        <f>ROUND(BN49*1.12*1.01,2)</f>
        <v>72.94</v>
      </c>
      <c r="BP49" s="79">
        <v>57</v>
      </c>
      <c r="BQ49" s="15">
        <f t="shared" si="7"/>
        <v>64.4784</v>
      </c>
      <c r="HR49" s="16"/>
      <c r="HS49" s="16"/>
      <c r="HT49" s="16"/>
      <c r="HU49" s="16"/>
      <c r="HV49" s="16"/>
    </row>
    <row r="50" spans="1:230" s="15" customFormat="1" ht="126.75" customHeight="1">
      <c r="A50" s="64">
        <v>38</v>
      </c>
      <c r="B50" s="76" t="s">
        <v>115</v>
      </c>
      <c r="C50" s="71" t="s">
        <v>133</v>
      </c>
      <c r="D50" s="77">
        <v>1</v>
      </c>
      <c r="E50" s="78" t="s">
        <v>119</v>
      </c>
      <c r="F50" s="79">
        <v>2828</v>
      </c>
      <c r="G50" s="57"/>
      <c r="H50" s="47"/>
      <c r="I50" s="46" t="s">
        <v>39</v>
      </c>
      <c r="J50" s="48">
        <f>IF(I50="Less(-)",-1,1)</f>
        <v>1</v>
      </c>
      <c r="K50" s="49" t="s">
        <v>64</v>
      </c>
      <c r="L50" s="49" t="s">
        <v>7</v>
      </c>
      <c r="M50" s="58"/>
      <c r="N50" s="57"/>
      <c r="O50" s="57"/>
      <c r="P50" s="59"/>
      <c r="Q50" s="57"/>
      <c r="R50" s="57"/>
      <c r="S50" s="59"/>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60">
        <f>total_amount_ba($B$2,$D$2,D50,F50,J50,K50,M50)</f>
        <v>2828</v>
      </c>
      <c r="BB50" s="61">
        <f>BA50+SUM(N50:AZ50)</f>
        <v>2828</v>
      </c>
      <c r="BC50" s="56" t="str">
        <f>SpellNumber(L50,BB50)</f>
        <v>INR  Two Thousand Eight Hundred &amp; Twenty Eight  Only</v>
      </c>
      <c r="BD50" s="70">
        <v>76372</v>
      </c>
      <c r="BE50" s="72">
        <f>BD50*1.12*1.01</f>
        <v>86392.01</v>
      </c>
      <c r="BF50" s="72">
        <f>D50*BD50</f>
        <v>76372</v>
      </c>
      <c r="BG50" s="72"/>
      <c r="BK50" s="15">
        <f>ROUND(F50*1.12*1.01,2)</f>
        <v>3199.03</v>
      </c>
      <c r="BL50" s="15" t="e">
        <f>ROUND(#REF!*1.12*1.01,2)</f>
        <v>#REF!</v>
      </c>
      <c r="BM50" s="15">
        <f>ROUND(F50*1.12*1.01,2)</f>
        <v>3199.03</v>
      </c>
      <c r="BN50" s="72">
        <f>ROUND(F50,2)</f>
        <v>2828</v>
      </c>
      <c r="BO50" s="15">
        <f>ROUND(BN50*1.12*1.01,2)</f>
        <v>3199.03</v>
      </c>
      <c r="BP50" s="79">
        <v>2500</v>
      </c>
      <c r="BQ50" s="15">
        <f t="shared" si="7"/>
        <v>2828</v>
      </c>
      <c r="HR50" s="16"/>
      <c r="HS50" s="16"/>
      <c r="HT50" s="16"/>
      <c r="HU50" s="16"/>
      <c r="HV50" s="16"/>
    </row>
    <row r="51" spans="1:229" s="15" customFormat="1" ht="47.25" customHeight="1">
      <c r="A51" s="28" t="s">
        <v>62</v>
      </c>
      <c r="B51" s="27"/>
      <c r="C51" s="29"/>
      <c r="D51" s="29"/>
      <c r="E51" s="29"/>
      <c r="F51" s="29"/>
      <c r="G51" s="29"/>
      <c r="H51" s="30"/>
      <c r="I51" s="30"/>
      <c r="J51" s="30"/>
      <c r="K51" s="30"/>
      <c r="L51" s="31"/>
      <c r="BA51" s="43">
        <f>SUM(BA14:BA50)</f>
        <v>896610.17</v>
      </c>
      <c r="BB51" s="43">
        <f>SUM(BB13:BB48)</f>
        <v>893588.73</v>
      </c>
      <c r="BC51" s="26" t="str">
        <f>SpellNumber($E$2,BB51)</f>
        <v>INR  Eight Lakh Ninety Three Thousand Five Hundred &amp; Eighty Eight  and Paise Seventy Three Only</v>
      </c>
      <c r="BD51" s="72">
        <v>384803128.98</v>
      </c>
      <c r="BE51" s="72"/>
      <c r="BF51" s="72"/>
      <c r="BK51" s="15">
        <f>'[5]Final_Abs'!$D$16</f>
        <v>1564329.845512</v>
      </c>
      <c r="BL51" s="15">
        <f>'[6]ABSTRACT  (2)'!$C$12</f>
        <v>8208107.679264</v>
      </c>
      <c r="BM51" s="72">
        <f>BL51-BA51</f>
        <v>7311497.51</v>
      </c>
      <c r="BN51" s="75">
        <f>BA51-'[7]Abs'!$D$11</f>
        <v>-11654707.15</v>
      </c>
      <c r="BO51" s="15">
        <f>ROUND(BN51*1.01,2)</f>
        <v>-11771254.22</v>
      </c>
      <c r="HQ51" s="16">
        <v>4</v>
      </c>
      <c r="HR51" s="16" t="s">
        <v>41</v>
      </c>
      <c r="HS51" s="16" t="s">
        <v>61</v>
      </c>
      <c r="HT51" s="16">
        <v>10</v>
      </c>
      <c r="HU51" s="16" t="s">
        <v>38</v>
      </c>
    </row>
    <row r="52" spans="1:229" s="18" customFormat="1" ht="33.75" customHeight="1">
      <c r="A52" s="28" t="s">
        <v>66</v>
      </c>
      <c r="B52" s="27"/>
      <c r="C52" s="67"/>
      <c r="D52" s="32"/>
      <c r="E52" s="33" t="s">
        <v>69</v>
      </c>
      <c r="F52" s="40"/>
      <c r="G52" s="34"/>
      <c r="H52" s="17"/>
      <c r="I52" s="17"/>
      <c r="J52" s="17"/>
      <c r="K52" s="35"/>
      <c r="L52" s="36"/>
      <c r="M52" s="37"/>
      <c r="O52" s="15"/>
      <c r="P52" s="15"/>
      <c r="Q52" s="15"/>
      <c r="R52" s="15"/>
      <c r="S52" s="15"/>
      <c r="BA52" s="39">
        <f>IF(ISBLANK(F52),0,IF(E52="Excess (+)",ROUND(BA51+(BA51*F52),2),IF(E52="Less (-)",ROUND(BA51+(BA51*F52*(-1)),2),IF(E52="At Par",BA51,0))))</f>
        <v>0</v>
      </c>
      <c r="BB52" s="41">
        <f>ROUND(BA52,0)</f>
        <v>0</v>
      </c>
      <c r="BC52" s="26" t="str">
        <f>SpellNumber($E$2,BA52)</f>
        <v>INR Zero Only</v>
      </c>
      <c r="BD52" s="74">
        <f>BA51-BD51</f>
        <v>-383906518.81</v>
      </c>
      <c r="BK52" s="74">
        <f>BA51-'[5]Final_Abs'!$D$16</f>
        <v>-667719.68</v>
      </c>
      <c r="HQ52" s="19"/>
      <c r="HR52" s="19"/>
      <c r="HS52" s="19"/>
      <c r="HT52" s="19"/>
      <c r="HU52" s="19"/>
    </row>
    <row r="53" spans="1:229" s="18" customFormat="1" ht="41.25" customHeight="1">
      <c r="A53" s="28" t="s">
        <v>65</v>
      </c>
      <c r="B53" s="27"/>
      <c r="C53" s="84" t="str">
        <f>SpellNumber($E$2,BA52)</f>
        <v>INR Zero Only</v>
      </c>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5"/>
      <c r="HQ53" s="19"/>
      <c r="HR53" s="19"/>
      <c r="HS53" s="19"/>
      <c r="HT53" s="19"/>
      <c r="HU53" s="19"/>
    </row>
    <row r="54" spans="2:229" s="12" customFormat="1" ht="15">
      <c r="B54" s="68" t="s">
        <v>130</v>
      </c>
      <c r="C54" s="20"/>
      <c r="D54" s="20"/>
      <c r="E54" s="20"/>
      <c r="F54" s="20"/>
      <c r="G54" s="20"/>
      <c r="H54" s="20"/>
      <c r="I54" s="20"/>
      <c r="J54" s="20"/>
      <c r="K54" s="20"/>
      <c r="L54" s="20"/>
      <c r="M54" s="20"/>
      <c r="O54" s="20"/>
      <c r="BA54" s="20"/>
      <c r="BC54" s="20"/>
      <c r="HQ54" s="13"/>
      <c r="HR54" s="13"/>
      <c r="HS54" s="13"/>
      <c r="HT54" s="13"/>
      <c r="HU54" s="13"/>
    </row>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sheetData>
  <sheetProtection password="DA7E" sheet="1" selectLockedCells="1"/>
  <mergeCells count="8">
    <mergeCell ref="A9:BC9"/>
    <mergeCell ref="C53:BC53"/>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2">
      <formula1>IF(E52="Select",-1,IF(E52="At Par",0,0))</formula1>
      <formula2>IF(E52="Select",-1,IF(E52="At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52">
      <formula1>0</formula1>
      <formula2>IF(E52&lt;&gt;"Select",99.9,0)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2">
      <formula1>0</formula1>
      <formula2>99.9</formula2>
    </dataValidation>
    <dataValidation type="list" allowBlank="1" showInputMessage="1" showErrorMessage="1" sqref="E52">
      <formula1>"Select, Excess (+), Less (-)"</formula1>
    </dataValidation>
    <dataValidation type="decimal" allowBlank="1" showInputMessage="1" showErrorMessage="1" promptTitle="Quantity" prompt="Please enter the Quantity for this item. " errorTitle="Invalid Entry" error="Only Numeric Values are allowed. " sqref="F13 D13 D15:D50">
      <formula1>0</formula1>
      <formula2>999999999999999</formula2>
    </dataValidation>
    <dataValidation allowBlank="1" showInputMessage="1" showErrorMessage="1" promptTitle="Units" prompt="Please enter Units in text" sqref="E13"/>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L48 L49 L13 L14 L15 L16 L17 L18 L19 L20 L21 L22 L23 L24 L25 L26 L27 L28 L29 L30 L31 L32 L33 L34 L35 L36 L37 L38 L39 L40 L41 L42 L43 L44 L45 L46 L47 L50">
      <formula1>"INR"</formula1>
    </dataValidation>
    <dataValidation type="decimal" allowBlank="1" showInputMessage="1" showErrorMessage="1" promptTitle="Rate Entry" prompt="Please enter VAT charges in Rupees for this item. " errorTitle="Invaid Entry" error="Only Numeric Values are allowed. " sqref="M14:M5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5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5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50">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50">
      <formula1>0</formula1>
      <formula2>999999999999999</formula2>
    </dataValidation>
    <dataValidation type="list" showInputMessage="1" showErrorMessage="1" sqref="I13:I50">
      <formula1>"Excess(+), Less(-)"</formula1>
    </dataValidation>
    <dataValidation allowBlank="1" showInputMessage="1" showErrorMessage="1" promptTitle="Addition / Deduction" prompt="Please Choose the correct One" sqref="J13:J50"/>
    <dataValidation type="list" allowBlank="1" showInputMessage="1" showErrorMessage="1" sqref="K13:K50">
      <formula1>"Partial Conversion, Full Conversion"</formula1>
    </dataValidation>
    <dataValidation allowBlank="1" showInputMessage="1" showErrorMessage="1" promptTitle="Itemcode/Make" prompt="Please enter text" sqref="C13:C50"/>
    <dataValidation type="decimal" allowBlank="1" showInputMessage="1" showErrorMessage="1" errorTitle="Invalid Entry" error="Only Numeric Values are allowed. " sqref="A13:A50">
      <formula1>0</formula1>
      <formula2>999999999999999</formula2>
    </dataValidation>
  </dataValidations>
  <printOptions horizontalCentered="1"/>
  <pageMargins left="0.3937007874015748" right="0.3937007874015748" top="0.3937007874015748" bottom="0.3937007874015748" header="0.1968503937007874" footer="0.1968503937007874"/>
  <pageSetup horizontalDpi="600" verticalDpi="6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3" sqref="G3"/>
    </sheetView>
  </sheetViews>
  <sheetFormatPr defaultColWidth="9.140625" defaultRowHeight="15"/>
  <sheetData>
    <row r="6" spans="5:11" ht="15">
      <c r="E6" s="92" t="s">
        <v>3</v>
      </c>
      <c r="F6" s="92"/>
      <c r="G6" s="92"/>
      <c r="H6" s="92"/>
      <c r="I6" s="92"/>
      <c r="J6" s="92"/>
      <c r="K6" s="92"/>
    </row>
    <row r="7" spans="5:11" ht="15">
      <c r="E7" s="92"/>
      <c r="F7" s="92"/>
      <c r="G7" s="92"/>
      <c r="H7" s="92"/>
      <c r="I7" s="92"/>
      <c r="J7" s="92"/>
      <c r="K7" s="92"/>
    </row>
    <row r="8" spans="5:11" ht="15">
      <c r="E8" s="92"/>
      <c r="F8" s="92"/>
      <c r="G8" s="92"/>
      <c r="H8" s="92"/>
      <c r="I8" s="92"/>
      <c r="J8" s="92"/>
      <c r="K8" s="92"/>
    </row>
    <row r="9" spans="5:11" ht="15">
      <c r="E9" s="92"/>
      <c r="F9" s="92"/>
      <c r="G9" s="92"/>
      <c r="H9" s="92"/>
      <c r="I9" s="92"/>
      <c r="J9" s="92"/>
      <c r="K9" s="92"/>
    </row>
    <row r="10" spans="5:11" ht="15">
      <c r="E10" s="92"/>
      <c r="F10" s="92"/>
      <c r="G10" s="92"/>
      <c r="H10" s="92"/>
      <c r="I10" s="92"/>
      <c r="J10" s="92"/>
      <c r="K10" s="92"/>
    </row>
    <row r="11" spans="5:11" ht="15">
      <c r="E11" s="92"/>
      <c r="F11" s="92"/>
      <c r="G11" s="92"/>
      <c r="H11" s="92"/>
      <c r="I11" s="92"/>
      <c r="J11" s="92"/>
      <c r="K11" s="92"/>
    </row>
    <row r="12" spans="5:11" ht="15">
      <c r="E12" s="92"/>
      <c r="F12" s="92"/>
      <c r="G12" s="92"/>
      <c r="H12" s="92"/>
      <c r="I12" s="92"/>
      <c r="J12" s="92"/>
      <c r="K12" s="92"/>
    </row>
    <row r="13" spans="5:11" ht="15">
      <c r="E13" s="92"/>
      <c r="F13" s="92"/>
      <c r="G13" s="92"/>
      <c r="H13" s="92"/>
      <c r="I13" s="92"/>
      <c r="J13" s="92"/>
      <c r="K13" s="92"/>
    </row>
    <row r="14" spans="5:11" ht="15">
      <c r="E14" s="92"/>
      <c r="F14" s="92"/>
      <c r="G14" s="92"/>
      <c r="H14" s="92"/>
      <c r="I14" s="92"/>
      <c r="J14" s="92"/>
      <c r="K14" s="9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2018-11-27T05:35:56Z</cp:lastPrinted>
  <dcterms:created xsi:type="dcterms:W3CDTF">2009-01-30T06:42:42Z</dcterms:created>
  <dcterms:modified xsi:type="dcterms:W3CDTF">2019-11-29T08:35:39Z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